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ommaire" sheetId="1" r:id="rId1"/>
    <sheet name="émissions 03-04" sheetId="2" r:id="rId2"/>
    <sheet name="Séries" sheetId="3" r:id="rId3"/>
    <sheet name="Films" sheetId="4" r:id="rId4"/>
  </sheets>
  <definedNames>
    <definedName name="_xlnm.Print_Area" localSheetId="1">'émissions 03-04'!$A$1:$V$98</definedName>
    <definedName name="_xlnm.Print_Area" localSheetId="2">'Séries'!$A$2:$H$28</definedName>
    <definedName name="_xlnm.Print_Titles" localSheetId="1">'émissions 03-04'!$1:$6</definedName>
  </definedNames>
  <calcPr fullCalcOnLoad="1"/>
</workbook>
</file>

<file path=xl/sharedStrings.xml><?xml version="1.0" encoding="utf-8"?>
<sst xmlns="http://schemas.openxmlformats.org/spreadsheetml/2006/main" count="290" uniqueCount="194">
  <si>
    <t>TQS</t>
  </si>
  <si>
    <t>SOMMAIRES AMORTISSEMENTS EMISSIONS</t>
  </si>
  <si>
    <t>02A</t>
  </si>
  <si>
    <t>02B</t>
  </si>
  <si>
    <t>05A</t>
  </si>
  <si>
    <t>05B</t>
  </si>
  <si>
    <t>07B</t>
  </si>
  <si>
    <t>07C</t>
  </si>
  <si>
    <t>7D</t>
  </si>
  <si>
    <t>07F</t>
  </si>
  <si>
    <t>07G</t>
  </si>
  <si>
    <t>08A</t>
  </si>
  <si>
    <t>Catégorie CRTC</t>
  </si>
  <si>
    <t>Nouvelles</t>
  </si>
  <si>
    <t>Analyse et interprétation</t>
  </si>
  <si>
    <t>Documentaire longue durée</t>
  </si>
  <si>
    <t>Émission éducative préscolaire</t>
  </si>
  <si>
    <t>Émission éducative</t>
  </si>
  <si>
    <t>Dramatiques séries comiques</t>
  </si>
  <si>
    <t>Émission spéciale</t>
  </si>
  <si>
    <t>Longs métrages diffusés à la TV</t>
  </si>
  <si>
    <t>Sketches comiques</t>
  </si>
  <si>
    <t>Dramatique autres</t>
  </si>
  <si>
    <t>Musique et danse</t>
  </si>
  <si>
    <t>Variété</t>
  </si>
  <si>
    <t>Quizz</t>
  </si>
  <si>
    <t>Intérêt général</t>
  </si>
  <si>
    <t>avantages tangibles</t>
  </si>
  <si>
    <t>Émissions prioritaires</t>
  </si>
  <si>
    <t>prod. Indépendant</t>
  </si>
  <si>
    <t>autres</t>
  </si>
  <si>
    <t>PRODUCTEUR INDÉPENDaNT</t>
  </si>
  <si>
    <t>3  X rien</t>
  </si>
  <si>
    <t>450,  Chemin du golf</t>
  </si>
  <si>
    <t>Auger enquête</t>
  </si>
  <si>
    <t>Box Office</t>
  </si>
  <si>
    <t>Chasse aux trésors</t>
  </si>
  <si>
    <t>Coroner 11 (reprises)</t>
  </si>
  <si>
    <t>7G</t>
  </si>
  <si>
    <t>Coroner 1 et 2 (prol. Ct. Reprise)</t>
  </si>
  <si>
    <t>Coroner lll  (reprise)</t>
  </si>
  <si>
    <t>Festival Grand rire Bleu  Contrat 01/02</t>
  </si>
  <si>
    <t>Fête nationale dans la capitale</t>
  </si>
  <si>
    <t>Flash</t>
  </si>
  <si>
    <t>11 mag</t>
  </si>
  <si>
    <t>Fun Noir</t>
  </si>
  <si>
    <t>Gris</t>
  </si>
  <si>
    <t>le mec à dames</t>
  </si>
  <si>
    <t>les insolences d'une caméra</t>
  </si>
  <si>
    <t>Sex-Shop ll (reprise)</t>
  </si>
  <si>
    <t>Sex-Shop III</t>
  </si>
  <si>
    <t>Sexy cam</t>
  </si>
  <si>
    <t>Steve Diamond</t>
  </si>
  <si>
    <t>Testostérone</t>
  </si>
  <si>
    <t>Trois ténors de l'humour</t>
  </si>
  <si>
    <t>Une fois c't'un gars (reprise)</t>
  </si>
  <si>
    <t>Y a plein de soleil</t>
  </si>
  <si>
    <t>GRAND TOTAL</t>
  </si>
  <si>
    <t>PROGRAMMATION INTERNE</t>
  </si>
  <si>
    <t>Caméra Extrême</t>
  </si>
  <si>
    <t>Cinéma plus</t>
  </si>
  <si>
    <t>Dominic et Martin (reprise)</t>
  </si>
  <si>
    <t xml:space="preserve">Faut le voir pour croire </t>
  </si>
  <si>
    <t>Maison de rêve TIRAGE</t>
  </si>
  <si>
    <t>Partis pour l'été</t>
  </si>
  <si>
    <t>Sexy Cam  (TQS)</t>
  </si>
  <si>
    <t>Vrai monde</t>
  </si>
  <si>
    <t>Total</t>
  </si>
  <si>
    <t>Grand-total</t>
  </si>
  <si>
    <t>Services techniques producteurs indépendants</t>
  </si>
  <si>
    <t>Fun noir</t>
  </si>
  <si>
    <t>Y a plein soleil</t>
  </si>
  <si>
    <t>ANNÉE FISCALE 2003-2004</t>
  </si>
  <si>
    <t>Accès interdit</t>
  </si>
  <si>
    <t>Bleu</t>
  </si>
  <si>
    <t>Cabaret de l'humour</t>
  </si>
  <si>
    <t>Dominique et Martin Le Spectacle</t>
  </si>
  <si>
    <t>Ferland cœur à la fête</t>
  </si>
  <si>
    <t>François Massicotte</t>
  </si>
  <si>
    <t>Humour en santé</t>
  </si>
  <si>
    <t>Laissez passer</t>
  </si>
  <si>
    <t>Les apprentis sorciers</t>
  </si>
  <si>
    <t>Loft Story</t>
  </si>
  <si>
    <t>Martin Petit Granduer nature</t>
  </si>
  <si>
    <t>Sex-Shop IV</t>
  </si>
  <si>
    <t>Michel Barette</t>
  </si>
  <si>
    <t>Noël avec Chantal Pary</t>
  </si>
  <si>
    <t>Pierre Légaré (Rien)</t>
  </si>
  <si>
    <t>Roue de fortune chez vous</t>
  </si>
  <si>
    <t>Grand rire bleu</t>
  </si>
  <si>
    <t>101 Misères de stars</t>
  </si>
  <si>
    <t>À 72 hres du loft</t>
  </si>
  <si>
    <t>Caféine</t>
  </si>
  <si>
    <t>Facteur de stress</t>
  </si>
  <si>
    <t>Guinness</t>
  </si>
  <si>
    <t>Laissez Passer</t>
  </si>
  <si>
    <t>Le monde de M. Ripley</t>
  </si>
  <si>
    <t>Loft story émission spéciale</t>
  </si>
  <si>
    <t>Rire et Délire</t>
  </si>
  <si>
    <t>Quand la magie défie la mort</t>
  </si>
  <si>
    <t>7F</t>
  </si>
  <si>
    <t>8A</t>
  </si>
  <si>
    <t>7B</t>
  </si>
  <si>
    <t>Stars de l'humour en voyage</t>
  </si>
  <si>
    <t>Département  programmation et exploitation Montréal</t>
  </si>
  <si>
    <t>$</t>
  </si>
  <si>
    <t>Avantages tangibles en sus des émissions prioritaires</t>
  </si>
  <si>
    <t>Productions indépendantes autres</t>
  </si>
  <si>
    <t>Total Productions indépendantes en sus des avantages tangibles</t>
  </si>
  <si>
    <t>Total productions indépendantes</t>
  </si>
  <si>
    <t xml:space="preserve">Séries </t>
  </si>
  <si>
    <t>Émissions</t>
  </si>
  <si>
    <t xml:space="preserve">Films </t>
  </si>
  <si>
    <t>Contenu canadien CRTC 2003-2004</t>
  </si>
  <si>
    <t>Contenu canadien</t>
  </si>
  <si>
    <t>Séries MTL</t>
  </si>
  <si>
    <t>RÉEL 2003-2004</t>
  </si>
  <si>
    <t>Produit</t>
  </si>
  <si>
    <t>Réel</t>
  </si>
  <si>
    <t>% can</t>
  </si>
  <si>
    <t>hres prioritaires</t>
  </si>
  <si>
    <t>Bamboubabulle</t>
  </si>
  <si>
    <t>7E</t>
  </si>
  <si>
    <t>Case érotique</t>
  </si>
  <si>
    <t>7A</t>
  </si>
  <si>
    <t>Château magique</t>
  </si>
  <si>
    <t>Dallas</t>
  </si>
  <si>
    <t>Dynastie</t>
  </si>
  <si>
    <t>Mica/Milo</t>
  </si>
  <si>
    <t>Mr. Bean</t>
  </si>
  <si>
    <t>7A ?</t>
  </si>
  <si>
    <t>Pokemon</t>
  </si>
  <si>
    <t>Porte des étoiles</t>
  </si>
  <si>
    <t>Road Runner</t>
  </si>
  <si>
    <t>Sans farce</t>
  </si>
  <si>
    <t>Simpson</t>
  </si>
  <si>
    <t>Tortues Ninja</t>
  </si>
  <si>
    <t>Analyse CRTC 2003-2004</t>
  </si>
  <si>
    <t>Titre films</t>
  </si>
  <si>
    <t>Date diffusion</t>
  </si>
  <si>
    <t>Amortissement</t>
  </si>
  <si>
    <t>Case</t>
  </si>
  <si>
    <t>Montant can</t>
  </si>
  <si>
    <t>PR</t>
  </si>
  <si>
    <t>Affaire Matthew Shepard. L'</t>
  </si>
  <si>
    <t>Amoureux d'une ombre</t>
  </si>
  <si>
    <t>Armes de la passion. Les</t>
  </si>
  <si>
    <t>Art de la guerre. L'</t>
  </si>
  <si>
    <t>Avalanche</t>
  </si>
  <si>
    <t>Avènement II. L'</t>
  </si>
  <si>
    <t>Avion de la terreur. L´</t>
  </si>
  <si>
    <t>Combat d'une mère. Le</t>
  </si>
  <si>
    <t>Copie non-conforme</t>
  </si>
  <si>
    <t>Coupable par amour</t>
  </si>
  <si>
    <t>Course aux enfants. La</t>
  </si>
  <si>
    <t>Délateur. Le</t>
  </si>
  <si>
    <t>Dernier arrêt. Le</t>
  </si>
  <si>
    <t>Destins croisés</t>
  </si>
  <si>
    <t>Fatale innocence</t>
  </si>
  <si>
    <t>Liens du sang. Les</t>
  </si>
  <si>
    <t>Liste. La</t>
  </si>
  <si>
    <t>Long combat de Jane Doe. Le</t>
  </si>
  <si>
    <t>Mandat. Le</t>
  </si>
  <si>
    <t>Mariage à tout prix. Le</t>
  </si>
  <si>
    <t>Mary Higgins Clark: Avant de te dire adieu</t>
  </si>
  <si>
    <t>Mary Higgins Clark: Et nous nous reverrons...</t>
  </si>
  <si>
    <t>Mary Higgins Clark: Ni vue ni connue</t>
  </si>
  <si>
    <t>Mary Higgins Clark: Nous n'irons plus au bois</t>
  </si>
  <si>
    <t>Mary Higgins Clark: Recherche jeune femme aimant danser</t>
  </si>
  <si>
    <t>Mary Higgins Clark: Tu m'appartiens</t>
  </si>
  <si>
    <t>Mary Higgins Clark: Un crime passionnel</t>
  </si>
  <si>
    <t>Mary Higgins Clark: Un jour de chance</t>
  </si>
  <si>
    <t>MVP: Mon vaillant primate</t>
  </si>
  <si>
    <t>Née d'un père inconnu</t>
  </si>
  <si>
    <t>Pacte. Le</t>
  </si>
  <si>
    <t>Péril au 80ème parallèle</t>
  </si>
  <si>
    <t>Poison</t>
  </si>
  <si>
    <t>Portrait macabre</t>
  </si>
  <si>
    <t>Rage au volant</t>
  </si>
  <si>
    <t>Route de la peur. La</t>
  </si>
  <si>
    <t>Star aux deux visages. La</t>
  </si>
  <si>
    <t>Sur la piste du danger</t>
  </si>
  <si>
    <t>Sur le coup de minuit</t>
  </si>
  <si>
    <t>Traquée</t>
  </si>
  <si>
    <t>Un amour inattendu</t>
  </si>
  <si>
    <t>Une femme sans passé</t>
  </si>
  <si>
    <t>Wilder: Profession détective</t>
  </si>
  <si>
    <t>Selon la politique télévisuelle 1999-97 et avis publics 1999-205 et 1999-206</t>
  </si>
  <si>
    <t>Total  2002-2003</t>
  </si>
  <si>
    <t>Total  cumulatif</t>
  </si>
  <si>
    <t>Selon décisions CRTC 2001-746 et CRTC 2002-393</t>
  </si>
  <si>
    <t>ANNEXE 1</t>
  </si>
  <si>
    <t>Les coûts sont déterminés sur une base 65% / 35%</t>
  </si>
  <si>
    <t xml:space="preserve">Salaires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</si>
</sst>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_);[Red]\(#,##0\)"/>
    <numFmt numFmtId="173" formatCode="#,##0_);\(#,##0\)"/>
    <numFmt numFmtId="174" formatCode="_-* #,##0.00\ _F_-;\-* #,##0.00\ _F_-;_-* &quot;-&quot;??\ _F_-;_-@_-"/>
    <numFmt numFmtId="175" formatCode="0.0"/>
  </numFmts>
  <fonts count="25">
    <font>
      <sz val="10"/>
      <name val="Arial"/>
      <family val="0"/>
    </font>
    <font>
      <b/>
      <sz val="10"/>
      <name val="Helv"/>
      <family val="0"/>
    </font>
    <font>
      <b/>
      <sz val="10"/>
      <color indexed="10"/>
      <name val="Helv"/>
      <family val="0"/>
    </font>
    <font>
      <b/>
      <sz val="10"/>
      <name val="Arial"/>
      <family val="2"/>
    </font>
    <font>
      <b/>
      <i/>
      <u val="single"/>
      <sz val="16"/>
      <name val="Helv"/>
      <family val="0"/>
    </font>
    <font>
      <sz val="10"/>
      <name val="Helv"/>
      <family val="0"/>
    </font>
    <font>
      <sz val="8"/>
      <name val="Helv"/>
      <family val="0"/>
    </font>
    <font>
      <sz val="9"/>
      <name val="Helv"/>
      <family val="0"/>
    </font>
    <font>
      <b/>
      <sz val="9"/>
      <name val="Helv"/>
      <family val="0"/>
    </font>
    <font>
      <b/>
      <sz val="9"/>
      <name val="Arial"/>
      <family val="0"/>
    </font>
    <font>
      <b/>
      <i/>
      <u val="single"/>
      <sz val="16"/>
      <name val="Arial"/>
      <family val="2"/>
    </font>
    <font>
      <b/>
      <u val="double"/>
      <sz val="10"/>
      <name val="Helv"/>
      <family val="0"/>
    </font>
    <font>
      <b/>
      <u val="single"/>
      <sz val="10"/>
      <name val="Arial"/>
      <family val="2"/>
    </font>
    <font>
      <b/>
      <u val="single"/>
      <sz val="16"/>
      <name val="Helv"/>
      <family val="0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0"/>
    </font>
    <font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6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6" fontId="2" fillId="0" borderId="0" xfId="0" applyNumberFormat="1" applyFont="1" applyAlignment="1">
      <alignment/>
    </xf>
    <xf numFmtId="17" fontId="2" fillId="0" borderId="0" xfId="0" applyNumberFormat="1" applyFont="1" applyAlignment="1">
      <alignment horizontal="left"/>
    </xf>
    <xf numFmtId="16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center"/>
    </xf>
    <xf numFmtId="0" fontId="4" fillId="2" borderId="0" xfId="0" applyFont="1" applyFill="1" applyBorder="1" applyAlignment="1">
      <alignment/>
    </xf>
    <xf numFmtId="172" fontId="5" fillId="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9" fontId="5" fillId="0" borderId="0" xfId="0" applyNumberFormat="1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9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left"/>
    </xf>
    <xf numFmtId="172" fontId="5" fillId="3" borderId="0" xfId="0" applyNumberFormat="1" applyFont="1" applyFill="1" applyAlignment="1">
      <alignment/>
    </xf>
    <xf numFmtId="1" fontId="6" fillId="0" borderId="0" xfId="19" applyNumberFormat="1" applyFont="1" applyAlignment="1">
      <alignment horizontal="center"/>
    </xf>
    <xf numFmtId="9" fontId="3" fillId="0" borderId="0" xfId="20" applyFont="1" applyAlignment="1">
      <alignment horizontal="left"/>
    </xf>
    <xf numFmtId="172" fontId="0" fillId="3" borderId="0" xfId="0" applyNumberFormat="1" applyFill="1" applyAlignment="1">
      <alignment/>
    </xf>
    <xf numFmtId="174" fontId="7" fillId="0" borderId="0" xfId="19" applyFont="1" applyBorder="1" applyAlignment="1">
      <alignment horizontal="center"/>
    </xf>
    <xf numFmtId="0" fontId="0" fillId="0" borderId="0" xfId="0" applyBorder="1" applyAlignment="1">
      <alignment horizontal="center"/>
    </xf>
    <xf numFmtId="16" fontId="8" fillId="0" borderId="0" xfId="0" applyNumberFormat="1" applyFont="1" applyBorder="1" applyAlignment="1">
      <alignment/>
    </xf>
    <xf numFmtId="172" fontId="5" fillId="3" borderId="2" xfId="0" applyNumberFormat="1" applyFont="1" applyFill="1" applyBorder="1" applyAlignment="1">
      <alignment/>
    </xf>
    <xf numFmtId="17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10" fillId="2" borderId="0" xfId="0" applyFont="1" applyFill="1" applyAlignment="1">
      <alignment/>
    </xf>
    <xf numFmtId="4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172" fontId="1" fillId="3" borderId="0" xfId="0" applyNumberFormat="1" applyFont="1" applyFill="1" applyBorder="1" applyAlignment="1">
      <alignment/>
    </xf>
    <xf numFmtId="172" fontId="11" fillId="3" borderId="0" xfId="0" applyNumberFormat="1" applyFont="1" applyFill="1" applyBorder="1" applyAlignment="1">
      <alignment/>
    </xf>
    <xf numFmtId="172" fontId="12" fillId="0" borderId="0" xfId="0" applyNumberFormat="1" applyFont="1" applyAlignment="1">
      <alignment/>
    </xf>
    <xf numFmtId="0" fontId="13" fillId="2" borderId="0" xfId="0" applyFont="1" applyFill="1" applyBorder="1" applyAlignment="1">
      <alignment/>
    </xf>
    <xf numFmtId="0" fontId="14" fillId="0" borderId="0" xfId="0" applyFont="1" applyAlignment="1">
      <alignment/>
    </xf>
    <xf numFmtId="172" fontId="15" fillId="3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173" fontId="15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7" xfId="0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 applyAlignment="1">
      <alignment horizontal="center" wrapText="1"/>
    </xf>
    <xf numFmtId="3" fontId="20" fillId="0" borderId="7" xfId="0" applyNumberFormat="1" applyFont="1" applyBorder="1" applyAlignment="1">
      <alignment horizontal="center" wrapText="1"/>
    </xf>
    <xf numFmtId="0" fontId="21" fillId="0" borderId="0" xfId="0" applyFont="1" applyAlignment="1">
      <alignment/>
    </xf>
    <xf numFmtId="0" fontId="18" fillId="0" borderId="6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7" xfId="0" applyNumberFormat="1" applyFont="1" applyBorder="1" applyAlignment="1">
      <alignment/>
    </xf>
    <xf numFmtId="173" fontId="18" fillId="0" borderId="0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172" fontId="18" fillId="0" borderId="8" xfId="0" applyNumberFormat="1" applyFont="1" applyBorder="1" applyAlignment="1">
      <alignment/>
    </xf>
    <xf numFmtId="3" fontId="18" fillId="0" borderId="8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22" fillId="0" borderId="0" xfId="0" applyFont="1" applyAlignment="1">
      <alignment/>
    </xf>
    <xf numFmtId="172" fontId="0" fillId="0" borderId="0" xfId="0" applyNumberFormat="1" applyAlignment="1">
      <alignment/>
    </xf>
    <xf numFmtId="0" fontId="23" fillId="0" borderId="0" xfId="0" applyFont="1" applyAlignment="1">
      <alignment/>
    </xf>
    <xf numFmtId="172" fontId="23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172" fontId="0" fillId="0" borderId="0" xfId="0" applyNumberFormat="1" applyAlignment="1">
      <alignment horizontal="left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9" fillId="0" borderId="0" xfId="0" applyNumberFormat="1" applyFont="1" applyAlignment="1">
      <alignment horizontal="center" wrapText="1"/>
    </xf>
    <xf numFmtId="172" fontId="1" fillId="3" borderId="13" xfId="0" applyNumberFormat="1" applyFont="1" applyFill="1" applyBorder="1" applyAlignment="1">
      <alignment/>
    </xf>
    <xf numFmtId="172" fontId="1" fillId="3" borderId="1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20" fillId="0" borderId="0" xfId="0" applyFont="1" applyAlignment="1">
      <alignment/>
    </xf>
    <xf numFmtId="3" fontId="17" fillId="0" borderId="6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8" fillId="0" borderId="6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illiers_comptabilite diffusion mensuelle 02-03 AOÛT 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tabSelected="1" workbookViewId="0" topLeftCell="A2">
      <selection activeCell="A17" sqref="A17"/>
    </sheetView>
  </sheetViews>
  <sheetFormatPr defaultColWidth="9.140625" defaultRowHeight="12.75"/>
  <cols>
    <col min="1" max="1" width="14.8515625" style="0" customWidth="1"/>
    <col min="2" max="2" width="18.00390625" style="0" customWidth="1"/>
    <col min="3" max="3" width="17.00390625" style="57" customWidth="1"/>
    <col min="4" max="4" width="18.7109375" style="57" customWidth="1"/>
    <col min="5" max="5" width="19.421875" style="57" customWidth="1"/>
    <col min="6" max="6" width="20.57421875" style="57" customWidth="1"/>
    <col min="7" max="16384" width="11.421875" style="0" customWidth="1"/>
  </cols>
  <sheetData>
    <row r="1" ht="13.5" thickBot="1"/>
    <row r="2" spans="1:6" ht="13.5" thickTop="1">
      <c r="A2" s="58"/>
      <c r="B2" s="59"/>
      <c r="C2" s="60"/>
      <c r="D2" s="60"/>
      <c r="E2" s="60"/>
      <c r="F2" s="61"/>
    </row>
    <row r="3" spans="1:6" ht="12.75">
      <c r="A3" s="62"/>
      <c r="B3" s="63"/>
      <c r="C3" s="64"/>
      <c r="D3" s="64"/>
      <c r="E3" s="64"/>
      <c r="F3" s="65"/>
    </row>
    <row r="4" spans="1:7" s="67" customFormat="1" ht="25.5">
      <c r="A4" s="108" t="s">
        <v>113</v>
      </c>
      <c r="B4" s="109"/>
      <c r="C4" s="109"/>
      <c r="D4" s="109"/>
      <c r="E4" s="109"/>
      <c r="F4" s="110"/>
      <c r="G4" s="66"/>
    </row>
    <row r="5" spans="1:7" s="69" customFormat="1" ht="20.25">
      <c r="A5" s="111" t="s">
        <v>104</v>
      </c>
      <c r="B5" s="109"/>
      <c r="C5" s="109"/>
      <c r="D5" s="109"/>
      <c r="E5" s="109"/>
      <c r="F5" s="110"/>
      <c r="G5" s="68"/>
    </row>
    <row r="6" spans="1:7" ht="12.75">
      <c r="A6" s="62"/>
      <c r="B6" s="63"/>
      <c r="C6" s="64"/>
      <c r="D6" s="64"/>
      <c r="E6" s="64"/>
      <c r="F6" s="65"/>
      <c r="G6" s="63"/>
    </row>
    <row r="7" spans="1:7" s="71" customFormat="1" ht="23.25">
      <c r="A7" s="62"/>
      <c r="B7" s="35" t="s">
        <v>105</v>
      </c>
      <c r="C7" s="35" t="s">
        <v>105</v>
      </c>
      <c r="D7" s="35" t="s">
        <v>105</v>
      </c>
      <c r="E7" s="35" t="s">
        <v>105</v>
      </c>
      <c r="F7" s="70" t="s">
        <v>105</v>
      </c>
      <c r="G7" s="63"/>
    </row>
    <row r="8" spans="1:7" s="75" customFormat="1" ht="94.5">
      <c r="A8" s="62"/>
      <c r="B8" s="72" t="s">
        <v>106</v>
      </c>
      <c r="C8" s="73" t="s">
        <v>28</v>
      </c>
      <c r="D8" s="73" t="s">
        <v>107</v>
      </c>
      <c r="E8" s="73" t="s">
        <v>108</v>
      </c>
      <c r="F8" s="74" t="s">
        <v>109</v>
      </c>
      <c r="G8" s="63"/>
    </row>
    <row r="9" spans="1:7" ht="20.25">
      <c r="A9" s="76"/>
      <c r="B9" s="68"/>
      <c r="C9" s="77"/>
      <c r="D9" s="77"/>
      <c r="E9" s="77"/>
      <c r="F9" s="78"/>
      <c r="G9" s="68"/>
    </row>
    <row r="10" spans="1:7" ht="19.5" customHeight="1">
      <c r="A10" s="76" t="s">
        <v>110</v>
      </c>
      <c r="B10" s="68"/>
      <c r="C10" s="77">
        <f>Séries!H26</f>
        <v>223200</v>
      </c>
      <c r="D10" s="77"/>
      <c r="E10" s="77">
        <f>C10</f>
        <v>223200</v>
      </c>
      <c r="F10" s="78"/>
      <c r="G10" s="63"/>
    </row>
    <row r="11" spans="1:7" ht="20.25" hidden="1">
      <c r="A11" s="76" t="s">
        <v>111</v>
      </c>
      <c r="B11" s="68"/>
      <c r="C11" s="77"/>
      <c r="D11" s="77"/>
      <c r="E11" s="77"/>
      <c r="F11" s="78"/>
      <c r="G11" s="63"/>
    </row>
    <row r="12" spans="1:7" ht="20.25">
      <c r="A12" s="76" t="s">
        <v>112</v>
      </c>
      <c r="B12" s="68"/>
      <c r="C12" s="77">
        <f>Films!F51</f>
        <v>318500</v>
      </c>
      <c r="D12" s="77"/>
      <c r="E12" s="77">
        <f>C12</f>
        <v>318500</v>
      </c>
      <c r="F12" s="78"/>
      <c r="G12" s="68"/>
    </row>
    <row r="13" spans="1:7" ht="20.25">
      <c r="A13" s="76" t="s">
        <v>111</v>
      </c>
      <c r="B13" s="79">
        <f>'émissions 03-04'!S92</f>
        <v>1368463</v>
      </c>
      <c r="C13" s="77">
        <f>'émissions 03-04'!T92</f>
        <v>2927393.01</v>
      </c>
      <c r="D13" s="77">
        <f>'émissions 03-04'!U92</f>
        <v>10872365</v>
      </c>
      <c r="E13" s="77">
        <f>SUM(C13:D13)</f>
        <v>13799758.01</v>
      </c>
      <c r="F13" s="78">
        <f>B13+E13</f>
        <v>15168221.01</v>
      </c>
      <c r="G13" s="68"/>
    </row>
    <row r="14" spans="1:7" s="69" customFormat="1" ht="20.25">
      <c r="A14" s="76"/>
      <c r="B14" s="68"/>
      <c r="C14" s="80"/>
      <c r="D14" s="77"/>
      <c r="E14" s="77"/>
      <c r="F14" s="78"/>
      <c r="G14" s="68"/>
    </row>
    <row r="15" spans="1:7" s="69" customFormat="1" ht="20.25">
      <c r="A15" s="76" t="s">
        <v>67</v>
      </c>
      <c r="B15" s="81">
        <f>SUM(B10:B13)</f>
        <v>1368463</v>
      </c>
      <c r="C15" s="77">
        <f>SUM(C10:C13)</f>
        <v>3469093.01</v>
      </c>
      <c r="D15" s="82">
        <f>SUM(D10:D13)</f>
        <v>10872365</v>
      </c>
      <c r="E15" s="82">
        <f>SUM(E10:E13)</f>
        <v>14341458.01</v>
      </c>
      <c r="F15" s="83">
        <f>SUM(F10:F13)</f>
        <v>15168221.01</v>
      </c>
      <c r="G15" s="68"/>
    </row>
    <row r="16" spans="1:7" s="69" customFormat="1" ht="20.25">
      <c r="A16" s="76"/>
      <c r="B16" s="68"/>
      <c r="C16" s="77"/>
      <c r="D16" s="77"/>
      <c r="E16" s="77"/>
      <c r="F16" s="78"/>
      <c r="G16" s="68"/>
    </row>
    <row r="17" spans="1:7" s="69" customFormat="1" ht="20.25">
      <c r="A17" s="76"/>
      <c r="B17" s="68"/>
      <c r="C17" s="77"/>
      <c r="D17" s="77"/>
      <c r="E17" s="77"/>
      <c r="F17" s="78"/>
      <c r="G17" s="68"/>
    </row>
    <row r="18" spans="1:7" s="69" customFormat="1" ht="20.25">
      <c r="A18" s="76"/>
      <c r="B18" s="68"/>
      <c r="C18" s="77"/>
      <c r="D18" s="77"/>
      <c r="E18" s="77"/>
      <c r="F18" s="78"/>
      <c r="G18" s="68"/>
    </row>
    <row r="19" spans="1:7" s="69" customFormat="1" ht="21" thickBot="1">
      <c r="A19" s="84"/>
      <c r="B19" s="85"/>
      <c r="C19" s="86"/>
      <c r="D19" s="86"/>
      <c r="E19" s="86"/>
      <c r="F19" s="87"/>
      <c r="G19" s="68"/>
    </row>
    <row r="20" spans="1:7" s="69" customFormat="1" ht="21" thickTop="1">
      <c r="A20" s="68"/>
      <c r="B20" s="68"/>
      <c r="C20" s="77"/>
      <c r="D20" s="77"/>
      <c r="E20" s="77"/>
      <c r="F20" s="77"/>
      <c r="G20" s="68"/>
    </row>
    <row r="21" spans="1:7" s="69" customFormat="1" ht="20.25">
      <c r="A21" s="68"/>
      <c r="B21" s="68"/>
      <c r="C21" s="77"/>
      <c r="D21" s="77"/>
      <c r="E21" s="77"/>
      <c r="F21" s="77"/>
      <c r="G21" s="68"/>
    </row>
    <row r="22" spans="1:7" s="69" customFormat="1" ht="20.25">
      <c r="A22" s="68"/>
      <c r="B22" s="68"/>
      <c r="C22" s="77"/>
      <c r="D22" s="77"/>
      <c r="E22" s="77"/>
      <c r="F22" s="77"/>
      <c r="G22" s="68"/>
    </row>
    <row r="23" spans="1:7" s="69" customFormat="1" ht="23.25">
      <c r="A23" s="88"/>
      <c r="B23" s="88"/>
      <c r="C23" s="89"/>
      <c r="D23" s="89"/>
      <c r="E23" s="89"/>
      <c r="F23" s="89"/>
      <c r="G23" s="88"/>
    </row>
    <row r="24" s="69" customFormat="1" ht="20.25">
      <c r="F24" s="90"/>
    </row>
    <row r="25" s="69" customFormat="1" ht="20.25">
      <c r="F25" s="90"/>
    </row>
    <row r="26" spans="3:6" s="69" customFormat="1" ht="20.25">
      <c r="C26" s="90"/>
      <c r="D26" s="90"/>
      <c r="E26" s="90"/>
      <c r="F26" s="90"/>
    </row>
    <row r="27" spans="3:6" s="69" customFormat="1" ht="20.25">
      <c r="C27" s="90"/>
      <c r="D27" s="90"/>
      <c r="E27" s="90"/>
      <c r="F27" s="90"/>
    </row>
    <row r="28" spans="3:6" s="69" customFormat="1" ht="20.25">
      <c r="C28" s="90"/>
      <c r="D28" s="90"/>
      <c r="E28" s="90"/>
      <c r="F28" s="90"/>
    </row>
    <row r="29" spans="3:6" s="69" customFormat="1" ht="20.25">
      <c r="C29" s="90"/>
      <c r="D29" s="90"/>
      <c r="E29" s="90"/>
      <c r="F29" s="90"/>
    </row>
    <row r="30" spans="3:6" s="69" customFormat="1" ht="20.25">
      <c r="C30" s="90"/>
      <c r="D30" s="90"/>
      <c r="E30" s="90"/>
      <c r="F30" s="90"/>
    </row>
    <row r="31" spans="3:6" s="69" customFormat="1" ht="20.25">
      <c r="C31" s="90"/>
      <c r="D31" s="90"/>
      <c r="E31" s="90"/>
      <c r="F31" s="90"/>
    </row>
    <row r="32" spans="3:6" s="69" customFormat="1" ht="20.25">
      <c r="C32" s="90"/>
      <c r="D32" s="90"/>
      <c r="E32" s="90"/>
      <c r="F32" s="90"/>
    </row>
    <row r="33" spans="3:6" s="69" customFormat="1" ht="20.25">
      <c r="C33" s="90"/>
      <c r="D33" s="90"/>
      <c r="E33" s="90"/>
      <c r="F33" s="90"/>
    </row>
  </sheetData>
  <mergeCells count="2">
    <mergeCell ref="A4:F4"/>
    <mergeCell ref="A5:F5"/>
  </mergeCells>
  <printOptions/>
  <pageMargins left="0.75" right="0.75" top="1" bottom="1" header="0.4921259845" footer="0.492125984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0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8" sqref="C8"/>
    </sheetView>
  </sheetViews>
  <sheetFormatPr defaultColWidth="9.140625" defaultRowHeight="12.75" outlineLevelRow="1"/>
  <cols>
    <col min="1" max="1" width="33.57421875" style="0" customWidth="1"/>
    <col min="2" max="2" width="17.8515625" style="41" customWidth="1"/>
    <col min="3" max="3" width="12.8515625" style="0" bestFit="1" customWidth="1"/>
    <col min="4" max="4" width="14.140625" style="0" customWidth="1"/>
    <col min="5" max="5" width="11.28125" style="0" customWidth="1"/>
    <col min="6" max="6" width="12.7109375" style="0" customWidth="1"/>
    <col min="7" max="7" width="13.28125" style="0" bestFit="1" customWidth="1"/>
    <col min="8" max="8" width="15.00390625" style="0" customWidth="1"/>
    <col min="9" max="9" width="12.57421875" style="0" bestFit="1" customWidth="1"/>
    <col min="10" max="10" width="11.57421875" style="0" customWidth="1"/>
    <col min="11" max="11" width="13.28125" style="0" bestFit="1" customWidth="1"/>
    <col min="12" max="13" width="13.28125" style="0" customWidth="1"/>
    <col min="14" max="15" width="11.57421875" style="0" customWidth="1"/>
    <col min="16" max="16" width="15.421875" style="0" bestFit="1" customWidth="1"/>
    <col min="17" max="17" width="15.140625" style="4" bestFit="1" customWidth="1"/>
    <col min="18" max="18" width="2.00390625" style="0" hidden="1" customWidth="1"/>
    <col min="19" max="19" width="17.421875" style="5" customWidth="1"/>
    <col min="20" max="20" width="14.421875" style="5" bestFit="1" customWidth="1"/>
    <col min="21" max="21" width="13.7109375" style="5" customWidth="1"/>
    <col min="22" max="22" width="14.8515625" style="5" bestFit="1" customWidth="1"/>
    <col min="23" max="23" width="15.140625" style="0" bestFit="1" customWidth="1"/>
    <col min="24" max="16384" width="11.57421875" style="0" customWidth="1"/>
  </cols>
  <sheetData>
    <row r="1" spans="1:8" ht="12.75">
      <c r="A1" s="1" t="s">
        <v>0</v>
      </c>
      <c r="B1" s="3"/>
      <c r="H1" s="2"/>
    </row>
    <row r="2" spans="1:21" ht="20.25">
      <c r="A2" s="1" t="s">
        <v>72</v>
      </c>
      <c r="B2" s="3"/>
      <c r="H2" s="2"/>
      <c r="U2" s="106" t="s">
        <v>191</v>
      </c>
    </row>
    <row r="3" spans="1:8" ht="12.75">
      <c r="A3" s="6" t="s">
        <v>1</v>
      </c>
      <c r="B3" s="3"/>
      <c r="H3" s="2"/>
    </row>
    <row r="4" spans="1:21" ht="56.25" customHeight="1">
      <c r="A4" s="7"/>
      <c r="B4" s="8"/>
      <c r="C4" s="9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9">
        <v>9</v>
      </c>
      <c r="O4" s="9">
        <v>10</v>
      </c>
      <c r="P4" s="9">
        <v>11</v>
      </c>
      <c r="S4" s="103" t="s">
        <v>190</v>
      </c>
      <c r="T4" s="112" t="s">
        <v>187</v>
      </c>
      <c r="U4" s="112"/>
    </row>
    <row r="5" spans="1:22" ht="51">
      <c r="A5" s="11"/>
      <c r="B5" s="8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2" t="s">
        <v>21</v>
      </c>
      <c r="L5" s="12" t="s">
        <v>22</v>
      </c>
      <c r="M5" s="12" t="s">
        <v>23</v>
      </c>
      <c r="N5" s="12" t="s">
        <v>24</v>
      </c>
      <c r="O5" s="12" t="s">
        <v>25</v>
      </c>
      <c r="P5" s="12" t="s">
        <v>26</v>
      </c>
      <c r="S5" s="13" t="s">
        <v>27</v>
      </c>
      <c r="T5" s="14" t="s">
        <v>28</v>
      </c>
      <c r="U5" s="14" t="s">
        <v>29</v>
      </c>
      <c r="V5" s="15" t="s">
        <v>30</v>
      </c>
    </row>
    <row r="6" spans="1:8" ht="12.75">
      <c r="A6" s="11"/>
      <c r="B6" s="10"/>
      <c r="H6" s="16"/>
    </row>
    <row r="7" spans="1:8" ht="12.75">
      <c r="A7" s="11"/>
      <c r="B7" s="9"/>
      <c r="H7" s="10"/>
    </row>
    <row r="8" spans="1:8" ht="19.5" customHeight="1">
      <c r="A8" s="17" t="s">
        <v>31</v>
      </c>
      <c r="B8" s="20"/>
      <c r="H8" s="19"/>
    </row>
    <row r="9" spans="1:8" ht="19.5" customHeight="1">
      <c r="A9" s="21"/>
      <c r="B9" s="24"/>
      <c r="H9" s="25"/>
    </row>
    <row r="10" spans="1:23" ht="19.5" customHeight="1" hidden="1" outlineLevel="1">
      <c r="A10" s="26" t="s">
        <v>32</v>
      </c>
      <c r="B10" s="24" t="s">
        <v>6</v>
      </c>
      <c r="H10" s="18">
        <v>508300</v>
      </c>
      <c r="Q10" s="4">
        <f aca="true" t="shared" si="0" ref="Q10:Q53">SUM(C10:P10)</f>
        <v>508300</v>
      </c>
      <c r="R10" s="4" t="e">
        <f>Q10-#REF!</f>
        <v>#REF!</v>
      </c>
      <c r="S10" s="5">
        <f>Q10</f>
        <v>508300</v>
      </c>
      <c r="W10" s="4">
        <f>Q10-S10-T10-U10-V10</f>
        <v>0</v>
      </c>
    </row>
    <row r="11" spans="1:23" ht="19.5" customHeight="1" hidden="1" outlineLevel="1">
      <c r="A11" s="26" t="s">
        <v>33</v>
      </c>
      <c r="B11" s="24" t="s">
        <v>6</v>
      </c>
      <c r="H11" s="18">
        <f>380249+366464+15750</f>
        <v>762463</v>
      </c>
      <c r="Q11" s="4">
        <f t="shared" si="0"/>
        <v>762463</v>
      </c>
      <c r="R11" s="4" t="e">
        <f>Q11-#REF!</f>
        <v>#REF!</v>
      </c>
      <c r="S11" s="5">
        <f>Q11-15750</f>
        <v>746713</v>
      </c>
      <c r="U11" s="5">
        <v>15750</v>
      </c>
      <c r="W11" s="4">
        <f aca="true" t="shared" si="1" ref="W11:W51">Q11-S11-T11-U11-V11</f>
        <v>0</v>
      </c>
    </row>
    <row r="12" spans="1:23" ht="19.5" customHeight="1" hidden="1" outlineLevel="1">
      <c r="A12" s="26" t="s">
        <v>73</v>
      </c>
      <c r="B12" s="27">
        <v>11</v>
      </c>
      <c r="H12" s="18"/>
      <c r="P12" s="18">
        <v>339111</v>
      </c>
      <c r="Q12" s="4">
        <f>240781.21+98329.59</f>
        <v>339110.8</v>
      </c>
      <c r="R12" s="4"/>
      <c r="V12" s="5">
        <f>Q12</f>
        <v>339110.8</v>
      </c>
      <c r="W12" s="4">
        <f t="shared" si="1"/>
        <v>0</v>
      </c>
    </row>
    <row r="13" spans="1:23" ht="19.5" customHeight="1" hidden="1" outlineLevel="1">
      <c r="A13" s="22" t="s">
        <v>34</v>
      </c>
      <c r="B13" s="24" t="s">
        <v>3</v>
      </c>
      <c r="E13" s="18">
        <f>34609+31.87+3858.36-12.22-11</f>
        <v>38476.01</v>
      </c>
      <c r="H13" s="25"/>
      <c r="Q13" s="4">
        <f t="shared" si="0"/>
        <v>38476.01</v>
      </c>
      <c r="R13" s="4" t="e">
        <f>Q13-#REF!</f>
        <v>#REF!</v>
      </c>
      <c r="T13" s="5">
        <f>Q13</f>
        <v>38476.01</v>
      </c>
      <c r="W13" s="4">
        <f t="shared" si="1"/>
        <v>0</v>
      </c>
    </row>
    <row r="14" spans="1:23" ht="19.5" customHeight="1" hidden="1" outlineLevel="1">
      <c r="A14" s="22" t="s">
        <v>74</v>
      </c>
      <c r="B14" s="27">
        <v>11</v>
      </c>
      <c r="H14" s="25"/>
      <c r="P14" s="18">
        <v>6461</v>
      </c>
      <c r="Q14" s="4">
        <v>6461</v>
      </c>
      <c r="R14" s="4" t="e">
        <f>Q14-#REF!</f>
        <v>#REF!</v>
      </c>
      <c r="U14" s="5">
        <f>Q14</f>
        <v>6461</v>
      </c>
      <c r="W14" s="4">
        <f t="shared" si="1"/>
        <v>0</v>
      </c>
    </row>
    <row r="15" spans="1:23" ht="19.5" customHeight="1" hidden="1" outlineLevel="1">
      <c r="A15" s="22" t="s">
        <v>35</v>
      </c>
      <c r="B15" s="27">
        <v>11</v>
      </c>
      <c r="H15" s="25"/>
      <c r="P15" s="18">
        <v>125000</v>
      </c>
      <c r="Q15" s="4">
        <f t="shared" si="0"/>
        <v>125000</v>
      </c>
      <c r="R15" s="4" t="e">
        <f>Q15-#REF!</f>
        <v>#REF!</v>
      </c>
      <c r="U15" s="5">
        <f>Q15</f>
        <v>125000</v>
      </c>
      <c r="W15" s="4">
        <f t="shared" si="1"/>
        <v>0</v>
      </c>
    </row>
    <row r="16" spans="1:23" ht="19.5" customHeight="1" hidden="1" outlineLevel="1">
      <c r="A16" s="22" t="s">
        <v>75</v>
      </c>
      <c r="B16" s="27">
        <v>9</v>
      </c>
      <c r="H16" s="25"/>
      <c r="N16" s="18">
        <v>128800</v>
      </c>
      <c r="P16" s="18"/>
      <c r="Q16" s="4">
        <v>128800</v>
      </c>
      <c r="R16" s="4" t="e">
        <f>Q16-#REF!</f>
        <v>#REF!</v>
      </c>
      <c r="T16" s="5">
        <f>Q16</f>
        <v>128800</v>
      </c>
      <c r="W16" s="4">
        <f t="shared" si="1"/>
        <v>0</v>
      </c>
    </row>
    <row r="17" spans="1:23" ht="19.5" customHeight="1" hidden="1" outlineLevel="1">
      <c r="A17" s="22" t="s">
        <v>36</v>
      </c>
      <c r="B17" s="27">
        <v>10</v>
      </c>
      <c r="H17" s="25"/>
      <c r="O17">
        <v>45000</v>
      </c>
      <c r="P17" s="18"/>
      <c r="Q17" s="4">
        <f t="shared" si="0"/>
        <v>45000</v>
      </c>
      <c r="R17" s="4"/>
      <c r="U17" s="5">
        <f>Q17</f>
        <v>45000</v>
      </c>
      <c r="W17" s="4">
        <f t="shared" si="1"/>
        <v>0</v>
      </c>
    </row>
    <row r="18" spans="1:23" ht="19.5" customHeight="1" hidden="1" outlineLevel="1">
      <c r="A18" s="22" t="s">
        <v>37</v>
      </c>
      <c r="B18" s="24" t="s">
        <v>38</v>
      </c>
      <c r="H18" s="25"/>
      <c r="L18" s="18">
        <v>62724</v>
      </c>
      <c r="M18" s="18"/>
      <c r="Q18" s="4">
        <f t="shared" si="0"/>
        <v>62724</v>
      </c>
      <c r="R18" s="4" t="e">
        <f>Q18-#REF!</f>
        <v>#REF!</v>
      </c>
      <c r="T18" s="5">
        <f>Q18</f>
        <v>62724</v>
      </c>
      <c r="W18" s="4">
        <f t="shared" si="1"/>
        <v>0</v>
      </c>
    </row>
    <row r="19" spans="1:23" ht="19.5" customHeight="1" hidden="1" outlineLevel="1">
      <c r="A19" s="22" t="s">
        <v>39</v>
      </c>
      <c r="B19" s="24" t="s">
        <v>38</v>
      </c>
      <c r="H19" s="25"/>
      <c r="L19" s="18">
        <v>61818</v>
      </c>
      <c r="M19" s="18"/>
      <c r="Q19" s="4">
        <f t="shared" si="0"/>
        <v>61818</v>
      </c>
      <c r="R19" s="4" t="e">
        <f>Q19-#REF!</f>
        <v>#REF!</v>
      </c>
      <c r="T19" s="5">
        <f>Q19</f>
        <v>61818</v>
      </c>
      <c r="W19" s="4">
        <f t="shared" si="1"/>
        <v>0</v>
      </c>
    </row>
    <row r="20" spans="1:23" ht="19.5" customHeight="1" hidden="1" outlineLevel="1">
      <c r="A20" s="22" t="s">
        <v>40</v>
      </c>
      <c r="B20" s="24" t="s">
        <v>38</v>
      </c>
      <c r="H20" s="25"/>
      <c r="L20" s="18">
        <v>48765</v>
      </c>
      <c r="M20" s="18"/>
      <c r="Q20" s="4">
        <f t="shared" si="0"/>
        <v>48765</v>
      </c>
      <c r="R20" s="4" t="e">
        <f>Q20-#REF!</f>
        <v>#REF!</v>
      </c>
      <c r="T20" s="5">
        <f>Q20</f>
        <v>48765</v>
      </c>
      <c r="W20" s="4">
        <f t="shared" si="1"/>
        <v>0</v>
      </c>
    </row>
    <row r="21" spans="1:23" ht="19.5" customHeight="1" hidden="1" outlineLevel="1">
      <c r="A21" s="22" t="s">
        <v>76</v>
      </c>
      <c r="B21" s="24" t="s">
        <v>100</v>
      </c>
      <c r="H21" s="25"/>
      <c r="K21" s="18">
        <v>16250</v>
      </c>
      <c r="L21" s="18"/>
      <c r="M21" s="18"/>
      <c r="Q21" s="4">
        <v>16250</v>
      </c>
      <c r="R21" s="4"/>
      <c r="S21" s="5">
        <f>Q21</f>
        <v>16250</v>
      </c>
      <c r="W21" s="4">
        <f t="shared" si="1"/>
        <v>0</v>
      </c>
    </row>
    <row r="22" spans="1:23" ht="19.5" customHeight="1" hidden="1" outlineLevel="1">
      <c r="A22" s="22" t="s">
        <v>77</v>
      </c>
      <c r="B22" s="24" t="s">
        <v>101</v>
      </c>
      <c r="H22" s="25"/>
      <c r="L22" s="18"/>
      <c r="M22" s="18">
        <v>97200</v>
      </c>
      <c r="Q22" s="4">
        <v>97200</v>
      </c>
      <c r="R22" s="4"/>
      <c r="S22" s="5">
        <f>Q22</f>
        <v>97200</v>
      </c>
      <c r="W22" s="4">
        <f t="shared" si="1"/>
        <v>0</v>
      </c>
    </row>
    <row r="23" spans="1:23" ht="19.5" customHeight="1" hidden="1" outlineLevel="1">
      <c r="A23" s="28" t="s">
        <v>41</v>
      </c>
      <c r="B23" s="27" t="s">
        <v>9</v>
      </c>
      <c r="H23" s="25"/>
      <c r="K23" s="18">
        <v>55125</v>
      </c>
      <c r="Q23" s="4">
        <f t="shared" si="0"/>
        <v>55125</v>
      </c>
      <c r="R23" s="4" t="e">
        <f>Q23-#REF!</f>
        <v>#REF!</v>
      </c>
      <c r="T23" s="5">
        <f>Q23</f>
        <v>55125</v>
      </c>
      <c r="W23" s="4">
        <f t="shared" si="1"/>
        <v>0</v>
      </c>
    </row>
    <row r="24" spans="1:23" ht="19.5" customHeight="1" hidden="1" outlineLevel="1">
      <c r="A24" s="28" t="s">
        <v>42</v>
      </c>
      <c r="B24" s="27">
        <v>9</v>
      </c>
      <c r="H24" s="25"/>
      <c r="N24" s="18">
        <v>30000</v>
      </c>
      <c r="Q24" s="4">
        <f t="shared" si="0"/>
        <v>30000</v>
      </c>
      <c r="R24" s="4" t="e">
        <f>Q24-#REF!</f>
        <v>#REF!</v>
      </c>
      <c r="T24" s="5">
        <f>Q24</f>
        <v>30000</v>
      </c>
      <c r="W24" s="4">
        <f t="shared" si="1"/>
        <v>0</v>
      </c>
    </row>
    <row r="25" spans="1:23" ht="19.5" customHeight="1" hidden="1" outlineLevel="1">
      <c r="A25" s="22" t="s">
        <v>43</v>
      </c>
      <c r="B25" s="24" t="s">
        <v>44</v>
      </c>
      <c r="H25" s="25"/>
      <c r="P25" s="18">
        <f>3532736+196226</f>
        <v>3728962</v>
      </c>
      <c r="Q25" s="4">
        <f t="shared" si="0"/>
        <v>3728962</v>
      </c>
      <c r="R25" s="4" t="e">
        <f>Q25-#REF!</f>
        <v>#REF!</v>
      </c>
      <c r="U25" s="5">
        <f>Q25</f>
        <v>3728962</v>
      </c>
      <c r="W25" s="4">
        <f t="shared" si="1"/>
        <v>0</v>
      </c>
    </row>
    <row r="26" spans="1:23" ht="19.5" customHeight="1" hidden="1" outlineLevel="1">
      <c r="A26" s="22" t="s">
        <v>78</v>
      </c>
      <c r="B26" s="24" t="s">
        <v>102</v>
      </c>
      <c r="H26" s="18">
        <v>13000</v>
      </c>
      <c r="P26" s="18"/>
      <c r="Q26" s="4">
        <v>13000</v>
      </c>
      <c r="R26" s="4" t="e">
        <f>Q26-#REF!</f>
        <v>#REF!</v>
      </c>
      <c r="T26" s="5">
        <f>Q26</f>
        <v>13000</v>
      </c>
      <c r="W26" s="4">
        <f t="shared" si="1"/>
        <v>0</v>
      </c>
    </row>
    <row r="27" spans="1:23" ht="19.5" customHeight="1" hidden="1" outlineLevel="1">
      <c r="A27" s="22" t="s">
        <v>45</v>
      </c>
      <c r="B27" s="24" t="s">
        <v>9</v>
      </c>
      <c r="H27" s="25"/>
      <c r="K27" s="18">
        <v>2822781</v>
      </c>
      <c r="Q27" s="4">
        <f t="shared" si="0"/>
        <v>2822781</v>
      </c>
      <c r="R27" s="4" t="e">
        <f>Q27-#REF!</f>
        <v>#REF!</v>
      </c>
      <c r="T27" s="5">
        <f>509668+1293775+666490</f>
        <v>2469933</v>
      </c>
      <c r="U27" s="5">
        <v>352848</v>
      </c>
      <c r="W27" s="4">
        <f t="shared" si="1"/>
        <v>0</v>
      </c>
    </row>
    <row r="28" spans="1:23" ht="19.5" customHeight="1" hidden="1" outlineLevel="1">
      <c r="A28" s="22" t="s">
        <v>89</v>
      </c>
      <c r="B28" s="24" t="s">
        <v>9</v>
      </c>
      <c r="H28" s="18"/>
      <c r="K28" s="18">
        <v>137800</v>
      </c>
      <c r="Q28" s="4">
        <v>137800</v>
      </c>
      <c r="R28" s="4"/>
      <c r="U28" s="5">
        <f>Q28</f>
        <v>137800</v>
      </c>
      <c r="W28" s="4">
        <f t="shared" si="1"/>
        <v>0</v>
      </c>
    </row>
    <row r="29" spans="1:23" ht="19.5" customHeight="1" hidden="1" outlineLevel="1">
      <c r="A29" s="22" t="s">
        <v>46</v>
      </c>
      <c r="B29" s="24" t="s">
        <v>5</v>
      </c>
      <c r="G29" s="18">
        <v>6461</v>
      </c>
      <c r="H29" s="25"/>
      <c r="Q29" s="4">
        <f t="shared" si="0"/>
        <v>6461</v>
      </c>
      <c r="R29" s="4" t="e">
        <f>Q29-#REF!</f>
        <v>#REF!</v>
      </c>
      <c r="U29" s="5">
        <f>Q29</f>
        <v>6461</v>
      </c>
      <c r="W29" s="4">
        <f t="shared" si="1"/>
        <v>0</v>
      </c>
    </row>
    <row r="30" spans="1:23" ht="19.5" customHeight="1" hidden="1" outlineLevel="1">
      <c r="A30" s="22" t="s">
        <v>79</v>
      </c>
      <c r="B30" s="24" t="s">
        <v>9</v>
      </c>
      <c r="H30" s="25"/>
      <c r="I30" s="18"/>
      <c r="K30" s="18">
        <v>43875</v>
      </c>
      <c r="Q30" s="4">
        <v>43875</v>
      </c>
      <c r="R30" s="4" t="e">
        <f>Q30-#REF!</f>
        <v>#REF!</v>
      </c>
      <c r="T30" s="5">
        <f>Q30</f>
        <v>43875</v>
      </c>
      <c r="W30" s="4">
        <f t="shared" si="1"/>
        <v>0</v>
      </c>
    </row>
    <row r="31" spans="1:23" ht="19.5" customHeight="1" hidden="1" outlineLevel="1">
      <c r="A31" s="22" t="s">
        <v>47</v>
      </c>
      <c r="B31" s="27">
        <v>11</v>
      </c>
      <c r="H31" s="25"/>
      <c r="P31" s="18">
        <v>1501086</v>
      </c>
      <c r="Q31" s="4">
        <f t="shared" si="0"/>
        <v>1501086</v>
      </c>
      <c r="R31" s="4" t="e">
        <f>Q31-#REF!</f>
        <v>#REF!</v>
      </c>
      <c r="U31" s="5">
        <f>Q31</f>
        <v>1501086</v>
      </c>
      <c r="W31" s="4">
        <f t="shared" si="1"/>
        <v>0</v>
      </c>
    </row>
    <row r="32" spans="1:23" ht="19.5" customHeight="1" hidden="1" outlineLevel="1">
      <c r="A32" s="22" t="s">
        <v>48</v>
      </c>
      <c r="B32" s="24" t="s">
        <v>9</v>
      </c>
      <c r="H32" s="25"/>
      <c r="K32" s="18">
        <v>118625</v>
      </c>
      <c r="Q32" s="4">
        <f t="shared" si="0"/>
        <v>118625</v>
      </c>
      <c r="R32" s="4" t="e">
        <f>Q32-#REF!</f>
        <v>#REF!</v>
      </c>
      <c r="T32" s="5">
        <f>Q32</f>
        <v>118625</v>
      </c>
      <c r="W32" s="4">
        <f t="shared" si="1"/>
        <v>0</v>
      </c>
    </row>
    <row r="33" spans="1:23" ht="19.5" customHeight="1" hidden="1" outlineLevel="1">
      <c r="A33" s="22" t="s">
        <v>80</v>
      </c>
      <c r="B33" s="27">
        <v>11</v>
      </c>
      <c r="H33" s="25"/>
      <c r="K33" s="18"/>
      <c r="P33" s="18">
        <v>90091</v>
      </c>
      <c r="Q33" s="4">
        <f>58559+31532</f>
        <v>90091</v>
      </c>
      <c r="R33" s="4" t="e">
        <f>Q33-#REF!</f>
        <v>#REF!</v>
      </c>
      <c r="V33" s="5">
        <f>Q33</f>
        <v>90091</v>
      </c>
      <c r="W33" s="4">
        <f t="shared" si="1"/>
        <v>0</v>
      </c>
    </row>
    <row r="34" spans="1:23" ht="19.5" customHeight="1" hidden="1" outlineLevel="1">
      <c r="A34" s="22" t="s">
        <v>81</v>
      </c>
      <c r="B34" s="24" t="s">
        <v>6</v>
      </c>
      <c r="H34" s="18">
        <v>16250</v>
      </c>
      <c r="K34" s="18"/>
      <c r="Q34" s="4">
        <v>16250</v>
      </c>
      <c r="R34" s="4" t="e">
        <f>Q34-#REF!</f>
        <v>#REF!</v>
      </c>
      <c r="T34" s="5">
        <f>Q34</f>
        <v>16250</v>
      </c>
      <c r="W34" s="4">
        <f t="shared" si="1"/>
        <v>0</v>
      </c>
    </row>
    <row r="35" spans="1:23" ht="19.5" customHeight="1" hidden="1" outlineLevel="1">
      <c r="A35" s="22" t="s">
        <v>82</v>
      </c>
      <c r="B35" s="27">
        <v>11</v>
      </c>
      <c r="H35" s="25"/>
      <c r="K35" s="18"/>
      <c r="P35" s="18">
        <v>5650000</v>
      </c>
      <c r="Q35" s="4">
        <f>6000000+200000-600000+50000</f>
        <v>5650000</v>
      </c>
      <c r="R35" s="4" t="e">
        <f>Q35-#REF!</f>
        <v>#REF!</v>
      </c>
      <c r="U35" s="5">
        <f>Q35</f>
        <v>5650000</v>
      </c>
      <c r="W35" s="4">
        <f t="shared" si="1"/>
        <v>0</v>
      </c>
    </row>
    <row r="36" spans="1:23" ht="19.5" customHeight="1" hidden="1" outlineLevel="1">
      <c r="A36" s="22" t="s">
        <v>83</v>
      </c>
      <c r="B36" s="24" t="s">
        <v>6</v>
      </c>
      <c r="H36" s="18">
        <v>16250</v>
      </c>
      <c r="Q36" s="4">
        <v>16250</v>
      </c>
      <c r="R36" s="4" t="e">
        <f>Q36-#REF!</f>
        <v>#REF!</v>
      </c>
      <c r="T36" s="5">
        <f>Q36</f>
        <v>16250</v>
      </c>
      <c r="W36" s="4">
        <f t="shared" si="1"/>
        <v>0</v>
      </c>
    </row>
    <row r="37" spans="1:23" ht="19.5" customHeight="1" hidden="1" outlineLevel="1">
      <c r="A37" s="22" t="s">
        <v>85</v>
      </c>
      <c r="B37" s="27" t="s">
        <v>9</v>
      </c>
      <c r="H37" s="25"/>
      <c r="K37" s="18">
        <v>13000</v>
      </c>
      <c r="Q37" s="4">
        <v>13000</v>
      </c>
      <c r="R37" s="4" t="e">
        <f>Q37-#REF!</f>
        <v>#REF!</v>
      </c>
      <c r="T37" s="5">
        <f>Q37</f>
        <v>13000</v>
      </c>
      <c r="W37" s="4">
        <f t="shared" si="1"/>
        <v>0</v>
      </c>
    </row>
    <row r="38" spans="1:23" ht="19.5" customHeight="1" hidden="1" outlineLevel="1">
      <c r="A38" s="28" t="s">
        <v>86</v>
      </c>
      <c r="B38" s="27" t="s">
        <v>11</v>
      </c>
      <c r="H38" s="25"/>
      <c r="M38" s="18">
        <v>35000</v>
      </c>
      <c r="P38" s="18"/>
      <c r="Q38" s="4">
        <v>35000</v>
      </c>
      <c r="R38" s="4" t="e">
        <f>Q38-#REF!</f>
        <v>#REF!</v>
      </c>
      <c r="U38" s="5">
        <f aca="true" t="shared" si="2" ref="U38:U43">Q38</f>
        <v>35000</v>
      </c>
      <c r="W38" s="4">
        <f t="shared" si="1"/>
        <v>0</v>
      </c>
    </row>
    <row r="39" spans="1:23" ht="19.5" customHeight="1" hidden="1" outlineLevel="1">
      <c r="A39" s="28" t="s">
        <v>87</v>
      </c>
      <c r="B39" s="24" t="s">
        <v>9</v>
      </c>
      <c r="E39" s="18"/>
      <c r="H39" s="25"/>
      <c r="K39" s="18">
        <v>8750</v>
      </c>
      <c r="Q39" s="4">
        <v>8750</v>
      </c>
      <c r="R39" s="4" t="e">
        <f>Q39-#REF!</f>
        <v>#REF!</v>
      </c>
      <c r="U39" s="5">
        <f t="shared" si="2"/>
        <v>8750</v>
      </c>
      <c r="W39" s="4">
        <f t="shared" si="1"/>
        <v>0</v>
      </c>
    </row>
    <row r="40" spans="1:23" ht="19.5" customHeight="1" hidden="1" outlineLevel="1">
      <c r="A40" s="28" t="s">
        <v>88</v>
      </c>
      <c r="B40" s="27">
        <v>11</v>
      </c>
      <c r="E40" s="18"/>
      <c r="H40" s="25"/>
      <c r="P40" s="18">
        <v>420990</v>
      </c>
      <c r="Q40" s="4">
        <f>314914+106076</f>
        <v>420990</v>
      </c>
      <c r="R40" s="4" t="e">
        <f>Q40-#REF!</f>
        <v>#REF!</v>
      </c>
      <c r="U40" s="5">
        <f t="shared" si="2"/>
        <v>420990</v>
      </c>
      <c r="W40" s="4">
        <f t="shared" si="1"/>
        <v>0</v>
      </c>
    </row>
    <row r="41" spans="1:23" ht="19.5" customHeight="1" hidden="1" outlineLevel="1">
      <c r="A41" s="22" t="s">
        <v>49</v>
      </c>
      <c r="B41" s="24" t="s">
        <v>3</v>
      </c>
      <c r="E41" s="18">
        <v>24231</v>
      </c>
      <c r="H41" s="25"/>
      <c r="Q41" s="4">
        <f t="shared" si="0"/>
        <v>24231</v>
      </c>
      <c r="R41" s="4" t="e">
        <f>Q41-#REF!</f>
        <v>#REF!</v>
      </c>
      <c r="U41" s="5">
        <f t="shared" si="2"/>
        <v>24231</v>
      </c>
      <c r="W41" s="4">
        <f t="shared" si="1"/>
        <v>0</v>
      </c>
    </row>
    <row r="42" spans="1:23" ht="19.5" customHeight="1" hidden="1" outlineLevel="1">
      <c r="A42" s="22" t="s">
        <v>50</v>
      </c>
      <c r="B42" s="24" t="s">
        <v>3</v>
      </c>
      <c r="E42" s="18">
        <v>2975</v>
      </c>
      <c r="H42" s="25"/>
      <c r="Q42" s="4">
        <f t="shared" si="0"/>
        <v>2975</v>
      </c>
      <c r="R42" s="4" t="e">
        <f>Q42-#REF!</f>
        <v>#REF!</v>
      </c>
      <c r="U42" s="5">
        <f t="shared" si="2"/>
        <v>2975</v>
      </c>
      <c r="W42" s="4">
        <f t="shared" si="1"/>
        <v>0</v>
      </c>
    </row>
    <row r="43" spans="1:23" ht="19.5" customHeight="1" hidden="1" outlineLevel="1">
      <c r="A43" s="22" t="s">
        <v>84</v>
      </c>
      <c r="B43" s="24" t="s">
        <v>3</v>
      </c>
      <c r="E43" s="18">
        <v>107074</v>
      </c>
      <c r="H43" s="25"/>
      <c r="Q43" s="4">
        <v>107074</v>
      </c>
      <c r="R43" s="4"/>
      <c r="U43" s="5">
        <f t="shared" si="2"/>
        <v>107074</v>
      </c>
      <c r="W43" s="4">
        <f t="shared" si="1"/>
        <v>0</v>
      </c>
    </row>
    <row r="44" spans="1:23" ht="19.5" customHeight="1" hidden="1" outlineLevel="1">
      <c r="A44" s="22" t="s">
        <v>51</v>
      </c>
      <c r="B44" s="24" t="s">
        <v>6</v>
      </c>
      <c r="H44" s="18">
        <f>5600+169000</f>
        <v>174600</v>
      </c>
      <c r="Q44" s="4">
        <f t="shared" si="0"/>
        <v>174600</v>
      </c>
      <c r="R44" s="4" t="e">
        <f>Q44-#REF!</f>
        <v>#REF!</v>
      </c>
      <c r="T44" s="5">
        <f>Q44</f>
        <v>174600</v>
      </c>
      <c r="W44" s="4">
        <f t="shared" si="1"/>
        <v>0</v>
      </c>
    </row>
    <row r="45" spans="1:23" ht="19.5" customHeight="1" hidden="1" outlineLevel="1">
      <c r="A45" s="22" t="s">
        <v>103</v>
      </c>
      <c r="B45" s="24" t="s">
        <v>9</v>
      </c>
      <c r="H45" s="18"/>
      <c r="K45" s="18">
        <v>10500</v>
      </c>
      <c r="Q45" s="4">
        <v>10500</v>
      </c>
      <c r="R45" s="4" t="e">
        <f>Q45-#REF!</f>
        <v>#REF!</v>
      </c>
      <c r="U45" s="5">
        <f aca="true" t="shared" si="3" ref="U45:U50">Q45</f>
        <v>10500</v>
      </c>
      <c r="W45" s="4">
        <f t="shared" si="1"/>
        <v>0</v>
      </c>
    </row>
    <row r="46" spans="1:23" ht="19.5" customHeight="1" hidden="1" outlineLevel="1">
      <c r="A46" s="22" t="s">
        <v>52</v>
      </c>
      <c r="B46" s="24" t="s">
        <v>9</v>
      </c>
      <c r="H46" s="25"/>
      <c r="K46" s="18">
        <v>8750</v>
      </c>
      <c r="Q46" s="4">
        <f t="shared" si="0"/>
        <v>8750</v>
      </c>
      <c r="R46" s="4" t="e">
        <f>Q46-#REF!</f>
        <v>#REF!</v>
      </c>
      <c r="U46" s="5">
        <f t="shared" si="3"/>
        <v>8750</v>
      </c>
      <c r="W46" s="4">
        <f t="shared" si="1"/>
        <v>0</v>
      </c>
    </row>
    <row r="47" spans="1:23" ht="19.5" customHeight="1" hidden="1" outlineLevel="1">
      <c r="A47" s="22" t="s">
        <v>53</v>
      </c>
      <c r="B47" s="27">
        <v>11</v>
      </c>
      <c r="H47" s="18"/>
      <c r="N47" s="18"/>
      <c r="P47" s="18">
        <v>685700</v>
      </c>
      <c r="Q47" s="4">
        <f t="shared" si="0"/>
        <v>685700</v>
      </c>
      <c r="R47" s="4" t="e">
        <f>Q47-#REF!</f>
        <v>#REF!</v>
      </c>
      <c r="U47" s="5">
        <f>Q47</f>
        <v>685700</v>
      </c>
      <c r="W47" s="4">
        <f t="shared" si="1"/>
        <v>0</v>
      </c>
    </row>
    <row r="48" spans="1:23" ht="19.5" customHeight="1" hidden="1" outlineLevel="1">
      <c r="A48" s="22" t="s">
        <v>54</v>
      </c>
      <c r="B48" s="24" t="s">
        <v>9</v>
      </c>
      <c r="H48" s="25"/>
      <c r="K48" s="18">
        <v>7000</v>
      </c>
      <c r="Q48" s="4">
        <f t="shared" si="0"/>
        <v>7000</v>
      </c>
      <c r="R48" s="4" t="e">
        <f>Q48-#REF!</f>
        <v>#REF!</v>
      </c>
      <c r="U48" s="5">
        <f t="shared" si="3"/>
        <v>7000</v>
      </c>
      <c r="W48" s="4">
        <f t="shared" si="1"/>
        <v>0</v>
      </c>
    </row>
    <row r="49" spans="1:23" ht="19.5" customHeight="1" hidden="1" outlineLevel="1">
      <c r="A49" s="22" t="s">
        <v>55</v>
      </c>
      <c r="B49" s="27">
        <v>9</v>
      </c>
      <c r="H49" s="25"/>
      <c r="N49" s="18">
        <f>58003+29152</f>
        <v>87155</v>
      </c>
      <c r="Q49" s="4">
        <f t="shared" si="0"/>
        <v>87155</v>
      </c>
      <c r="R49" s="4" t="e">
        <f>Q49-#REF!</f>
        <v>#REF!</v>
      </c>
      <c r="U49" s="5">
        <f t="shared" si="3"/>
        <v>87155</v>
      </c>
      <c r="W49" s="4">
        <f t="shared" si="1"/>
        <v>0</v>
      </c>
    </row>
    <row r="50" spans="1:23" ht="19.5" customHeight="1" hidden="1" outlineLevel="1">
      <c r="A50" s="19" t="s">
        <v>56</v>
      </c>
      <c r="B50" s="27">
        <v>9</v>
      </c>
      <c r="H50" s="25"/>
      <c r="N50" s="18">
        <f>75324+30769-3873</f>
        <v>102220</v>
      </c>
      <c r="Q50" s="4">
        <f t="shared" si="0"/>
        <v>102220</v>
      </c>
      <c r="R50" s="4" t="e">
        <f>Q50-#REF!</f>
        <v>#REF!</v>
      </c>
      <c r="U50" s="5">
        <f t="shared" si="3"/>
        <v>102220</v>
      </c>
      <c r="W50" s="4">
        <f t="shared" si="1"/>
        <v>0</v>
      </c>
    </row>
    <row r="51" spans="1:23" ht="18" customHeight="1" hidden="1" outlineLevel="1">
      <c r="A51" s="29" t="s">
        <v>193</v>
      </c>
      <c r="B51" s="31">
        <v>1</v>
      </c>
      <c r="C51" s="30">
        <v>1676259</v>
      </c>
      <c r="Q51" s="4">
        <f t="shared" si="0"/>
        <v>1676259</v>
      </c>
      <c r="R51" s="4" t="e">
        <f>Q51-#REF!</f>
        <v>#REF!</v>
      </c>
      <c r="V51" s="5">
        <f>Q51</f>
        <v>1676259</v>
      </c>
      <c r="W51" s="4">
        <f t="shared" si="1"/>
        <v>0</v>
      </c>
    </row>
    <row r="52" spans="2:23" ht="17.25" customHeight="1" hidden="1" outlineLevel="1">
      <c r="B52" s="35"/>
      <c r="R52" s="4" t="e">
        <f>Q52-#REF!</f>
        <v>#REF!</v>
      </c>
      <c r="W52" s="4">
        <f>Q52-S52-T52-U52-V52</f>
        <v>0</v>
      </c>
    </row>
    <row r="53" spans="1:23" s="39" customFormat="1" ht="18" customHeight="1" collapsed="1" thickBot="1">
      <c r="A53" s="36" t="s">
        <v>57</v>
      </c>
      <c r="B53" s="20"/>
      <c r="C53" s="37">
        <f aca="true" t="shared" si="4" ref="C53:P53">SUM(C10:C52)</f>
        <v>1676259</v>
      </c>
      <c r="D53" s="37">
        <f t="shared" si="4"/>
        <v>0</v>
      </c>
      <c r="E53" s="37">
        <f t="shared" si="4"/>
        <v>172756.01</v>
      </c>
      <c r="F53" s="37">
        <f t="shared" si="4"/>
        <v>0</v>
      </c>
      <c r="G53" s="37">
        <f t="shared" si="4"/>
        <v>6461</v>
      </c>
      <c r="H53" s="37">
        <f t="shared" si="4"/>
        <v>1490863</v>
      </c>
      <c r="I53" s="37">
        <f t="shared" si="4"/>
        <v>0</v>
      </c>
      <c r="J53" s="37">
        <f t="shared" si="4"/>
        <v>0</v>
      </c>
      <c r="K53" s="37">
        <f t="shared" si="4"/>
        <v>3242456</v>
      </c>
      <c r="L53" s="37">
        <f t="shared" si="4"/>
        <v>173307</v>
      </c>
      <c r="M53" s="37">
        <f t="shared" si="4"/>
        <v>132200</v>
      </c>
      <c r="N53" s="37">
        <f t="shared" si="4"/>
        <v>348175</v>
      </c>
      <c r="O53" s="37">
        <f t="shared" si="4"/>
        <v>45000</v>
      </c>
      <c r="P53" s="37">
        <f t="shared" si="4"/>
        <v>12547401</v>
      </c>
      <c r="Q53" s="4">
        <f t="shared" si="0"/>
        <v>19834878.009999998</v>
      </c>
      <c r="R53" s="4" t="e">
        <f>Q53-#REF!</f>
        <v>#REF!</v>
      </c>
      <c r="S53" s="4">
        <f>SUM(S10:S52)</f>
        <v>1368463</v>
      </c>
      <c r="T53" s="4">
        <f>SUM(T10:T52)</f>
        <v>3291241.01</v>
      </c>
      <c r="U53" s="4">
        <f>SUM(U10:U52)</f>
        <v>13069713</v>
      </c>
      <c r="V53" s="4">
        <f>SUM(V10:V52)</f>
        <v>2105460.8</v>
      </c>
      <c r="W53" s="38">
        <f>SUM(S53:V53)</f>
        <v>19834877.81</v>
      </c>
    </row>
    <row r="54" ht="18" customHeight="1">
      <c r="A54" s="40"/>
    </row>
    <row r="55" spans="1:8" ht="18" customHeight="1">
      <c r="A55" s="42"/>
      <c r="H55" s="43"/>
    </row>
    <row r="56" spans="1:2" ht="12.75">
      <c r="A56" s="32"/>
      <c r="B56" s="34"/>
    </row>
    <row r="57" spans="1:8" ht="18" customHeight="1">
      <c r="A57" s="44" t="s">
        <v>58</v>
      </c>
      <c r="B57" s="45"/>
      <c r="H57" s="43"/>
    </row>
    <row r="58" spans="1:23" ht="19.5" customHeight="1" hidden="1" outlineLevel="1">
      <c r="A58" s="22" t="s">
        <v>90</v>
      </c>
      <c r="B58" s="27">
        <v>11</v>
      </c>
      <c r="E58" s="18"/>
      <c r="H58" s="46"/>
      <c r="P58" s="18">
        <v>74819</v>
      </c>
      <c r="Q58" s="4">
        <v>74819</v>
      </c>
      <c r="R58" s="4"/>
      <c r="V58" s="5">
        <f>Q58</f>
        <v>74819</v>
      </c>
      <c r="W58" s="4">
        <f aca="true" t="shared" si="5" ref="W58:W75">Q58-S58-T58-U58-V58</f>
        <v>0</v>
      </c>
    </row>
    <row r="59" spans="1:23" ht="19.5" customHeight="1" hidden="1" outlineLevel="1">
      <c r="A59" s="22" t="s">
        <v>91</v>
      </c>
      <c r="B59" s="27">
        <v>11</v>
      </c>
      <c r="E59" s="18"/>
      <c r="H59" s="46"/>
      <c r="P59" s="18">
        <v>27781</v>
      </c>
      <c r="Q59" s="4">
        <v>27781</v>
      </c>
      <c r="R59" s="4"/>
      <c r="T59" s="5">
        <f>Q59</f>
        <v>27781</v>
      </c>
      <c r="W59" s="4">
        <f t="shared" si="5"/>
        <v>0</v>
      </c>
    </row>
    <row r="60" spans="1:23" ht="19.5" customHeight="1" hidden="1" outlineLevel="1">
      <c r="A60" s="22" t="s">
        <v>92</v>
      </c>
      <c r="B60" s="27">
        <v>11</v>
      </c>
      <c r="E60" s="18"/>
      <c r="H60" s="46"/>
      <c r="P60" s="18">
        <v>5415105</v>
      </c>
      <c r="Q60" s="4">
        <f>4072517+1342588</f>
        <v>5415105</v>
      </c>
      <c r="R60" s="4"/>
      <c r="V60" s="5">
        <f aca="true" t="shared" si="6" ref="V60:V72">Q60</f>
        <v>5415105</v>
      </c>
      <c r="W60" s="4">
        <f t="shared" si="5"/>
        <v>0</v>
      </c>
    </row>
    <row r="61" spans="1:23" ht="19.5" customHeight="1" hidden="1" outlineLevel="1">
      <c r="A61" s="22" t="s">
        <v>59</v>
      </c>
      <c r="B61" s="27">
        <v>11</v>
      </c>
      <c r="H61" s="22"/>
      <c r="P61" s="18">
        <f>82797+62416</f>
        <v>145213</v>
      </c>
      <c r="Q61" s="4">
        <f aca="true" t="shared" si="7" ref="Q61:Q74">SUM(C61:P61)</f>
        <v>145213</v>
      </c>
      <c r="R61" s="4" t="e">
        <f>Q61-#REF!</f>
        <v>#REF!</v>
      </c>
      <c r="V61" s="5">
        <f t="shared" si="6"/>
        <v>145213</v>
      </c>
      <c r="W61" s="4">
        <f t="shared" si="5"/>
        <v>0</v>
      </c>
    </row>
    <row r="62" spans="1:23" ht="19.5" customHeight="1" hidden="1" outlineLevel="1">
      <c r="A62" s="22" t="s">
        <v>60</v>
      </c>
      <c r="B62" s="24" t="s">
        <v>7</v>
      </c>
      <c r="H62" s="22"/>
      <c r="I62" s="18">
        <v>779052</v>
      </c>
      <c r="Q62" s="4">
        <f t="shared" si="7"/>
        <v>779052</v>
      </c>
      <c r="R62" s="4" t="e">
        <f>Q62-#REF!</f>
        <v>#REF!</v>
      </c>
      <c r="V62" s="5">
        <f t="shared" si="6"/>
        <v>779052</v>
      </c>
      <c r="W62" s="4">
        <f t="shared" si="5"/>
        <v>0</v>
      </c>
    </row>
    <row r="63" spans="1:23" ht="19.5" customHeight="1" hidden="1" outlineLevel="1">
      <c r="A63" s="22" t="s">
        <v>61</v>
      </c>
      <c r="B63" s="24" t="s">
        <v>6</v>
      </c>
      <c r="H63" s="18">
        <f>186552+26354-24570.27</f>
        <v>188335.73</v>
      </c>
      <c r="Q63" s="4">
        <f t="shared" si="7"/>
        <v>188335.73</v>
      </c>
      <c r="R63" s="4" t="e">
        <f>Q63-#REF!</f>
        <v>#REF!</v>
      </c>
      <c r="V63" s="5">
        <f t="shared" si="6"/>
        <v>188335.73</v>
      </c>
      <c r="W63" s="4">
        <f t="shared" si="5"/>
        <v>0</v>
      </c>
    </row>
    <row r="64" spans="1:23" ht="19.5" customHeight="1" hidden="1" outlineLevel="1">
      <c r="A64" s="22" t="s">
        <v>93</v>
      </c>
      <c r="B64" s="24" t="s">
        <v>5</v>
      </c>
      <c r="G64" s="18">
        <v>66849</v>
      </c>
      <c r="H64" s="18"/>
      <c r="Q64" s="4">
        <f>21196+45653</f>
        <v>66849</v>
      </c>
      <c r="R64" s="4"/>
      <c r="V64" s="5">
        <f t="shared" si="6"/>
        <v>66849</v>
      </c>
      <c r="W64" s="4">
        <f t="shared" si="5"/>
        <v>0</v>
      </c>
    </row>
    <row r="65" spans="1:23" ht="19.5" customHeight="1" hidden="1" outlineLevel="1">
      <c r="A65" s="22" t="s">
        <v>62</v>
      </c>
      <c r="B65" s="27">
        <v>11</v>
      </c>
      <c r="H65" s="46"/>
      <c r="P65" s="18">
        <f>24861+26774+99747+43639+9493+80711</f>
        <v>285225</v>
      </c>
      <c r="Q65" s="4">
        <f t="shared" si="7"/>
        <v>285225</v>
      </c>
      <c r="R65" s="4" t="e">
        <f>Q65-#REF!</f>
        <v>#REF!</v>
      </c>
      <c r="V65" s="5">
        <f t="shared" si="6"/>
        <v>285225</v>
      </c>
      <c r="W65" s="4">
        <f t="shared" si="5"/>
        <v>0</v>
      </c>
    </row>
    <row r="66" spans="1:23" ht="19.5" customHeight="1" hidden="1" outlineLevel="1">
      <c r="A66" s="22" t="s">
        <v>94</v>
      </c>
      <c r="B66" s="27" t="s">
        <v>5</v>
      </c>
      <c r="G66" s="18">
        <v>153727</v>
      </c>
      <c r="H66" s="46"/>
      <c r="P66" s="18"/>
      <c r="Q66" s="4">
        <v>153727</v>
      </c>
      <c r="R66" s="4" t="e">
        <f>Q66-#REF!</f>
        <v>#REF!</v>
      </c>
      <c r="V66" s="5">
        <f t="shared" si="6"/>
        <v>153727</v>
      </c>
      <c r="W66" s="4">
        <f t="shared" si="5"/>
        <v>0</v>
      </c>
    </row>
    <row r="67" spans="1:23" ht="19.5" customHeight="1" hidden="1" outlineLevel="1">
      <c r="A67" s="22" t="s">
        <v>95</v>
      </c>
      <c r="B67" s="27">
        <v>11</v>
      </c>
      <c r="H67" s="46"/>
      <c r="P67" s="18">
        <v>344909</v>
      </c>
      <c r="Q67" s="4">
        <f>224191+120718</f>
        <v>344909</v>
      </c>
      <c r="R67" s="4" t="e">
        <f>Q67-#REF!</f>
        <v>#REF!</v>
      </c>
      <c r="V67" s="5">
        <f t="shared" si="6"/>
        <v>344909</v>
      </c>
      <c r="W67" s="4">
        <f t="shared" si="5"/>
        <v>0</v>
      </c>
    </row>
    <row r="68" spans="1:23" ht="19.5" customHeight="1" hidden="1" outlineLevel="1">
      <c r="A68" s="22" t="s">
        <v>96</v>
      </c>
      <c r="B68" s="27">
        <v>11</v>
      </c>
      <c r="H68" s="46"/>
      <c r="P68" s="18">
        <v>366333</v>
      </c>
      <c r="Q68" s="4">
        <v>366333</v>
      </c>
      <c r="R68" s="4" t="e">
        <f>Q68-#REF!</f>
        <v>#REF!</v>
      </c>
      <c r="V68" s="5">
        <f t="shared" si="6"/>
        <v>366333</v>
      </c>
      <c r="W68" s="4">
        <f t="shared" si="5"/>
        <v>0</v>
      </c>
    </row>
    <row r="69" spans="1:23" ht="19.5" customHeight="1" hidden="1" outlineLevel="1">
      <c r="A69" s="22" t="s">
        <v>97</v>
      </c>
      <c r="B69" s="27">
        <v>11</v>
      </c>
      <c r="H69" s="22"/>
      <c r="P69" s="18">
        <v>7282</v>
      </c>
      <c r="Q69" s="4">
        <v>7282</v>
      </c>
      <c r="R69" s="4" t="e">
        <f>Q69-#REF!</f>
        <v>#REF!</v>
      </c>
      <c r="V69" s="5">
        <f t="shared" si="6"/>
        <v>7282</v>
      </c>
      <c r="W69" s="4">
        <f t="shared" si="5"/>
        <v>0</v>
      </c>
    </row>
    <row r="70" spans="1:23" ht="19.5" customHeight="1" hidden="1" outlineLevel="1">
      <c r="A70" s="22" t="s">
        <v>63</v>
      </c>
      <c r="B70" s="24" t="s">
        <v>5</v>
      </c>
      <c r="G70" s="18">
        <v>61428</v>
      </c>
      <c r="H70" s="23"/>
      <c r="Q70" s="4">
        <f t="shared" si="7"/>
        <v>61428</v>
      </c>
      <c r="R70" s="4" t="e">
        <f>Q70-#REF!</f>
        <v>#REF!</v>
      </c>
      <c r="V70" s="5">
        <f t="shared" si="6"/>
        <v>61428</v>
      </c>
      <c r="W70" s="4">
        <f t="shared" si="5"/>
        <v>0</v>
      </c>
    </row>
    <row r="71" spans="1:23" ht="18.75" customHeight="1" hidden="1" outlineLevel="1">
      <c r="A71" s="22" t="s">
        <v>64</v>
      </c>
      <c r="B71" s="24" t="s">
        <v>5</v>
      </c>
      <c r="G71" s="18">
        <f>64973+34986+10370+9119+42878+145193</f>
        <v>307519</v>
      </c>
      <c r="H71" s="23"/>
      <c r="Q71" s="4">
        <f t="shared" si="7"/>
        <v>307519</v>
      </c>
      <c r="R71" s="4" t="e">
        <f>Q71-#REF!</f>
        <v>#REF!</v>
      </c>
      <c r="V71" s="5">
        <f t="shared" si="6"/>
        <v>307519</v>
      </c>
      <c r="W71" s="4">
        <f t="shared" si="5"/>
        <v>0</v>
      </c>
    </row>
    <row r="72" spans="1:23" ht="19.5" customHeight="1" hidden="1" outlineLevel="1">
      <c r="A72" s="22" t="s">
        <v>98</v>
      </c>
      <c r="B72" s="27">
        <v>11</v>
      </c>
      <c r="G72" s="18"/>
      <c r="H72" s="46"/>
      <c r="P72" s="18">
        <v>222654</v>
      </c>
      <c r="Q72" s="4">
        <f>163840+58814</f>
        <v>222654</v>
      </c>
      <c r="R72" s="4" t="e">
        <f>Q72-#REF!</f>
        <v>#REF!</v>
      </c>
      <c r="V72" s="5">
        <f t="shared" si="6"/>
        <v>222654</v>
      </c>
      <c r="W72" s="4">
        <f t="shared" si="5"/>
        <v>0</v>
      </c>
    </row>
    <row r="73" spans="1:23" ht="19.5" customHeight="1" hidden="1" outlineLevel="1">
      <c r="A73" s="22" t="s">
        <v>65</v>
      </c>
      <c r="B73" s="24" t="s">
        <v>6</v>
      </c>
      <c r="H73" s="18">
        <f>635+16757</f>
        <v>17392</v>
      </c>
      <c r="Q73" s="4">
        <f t="shared" si="7"/>
        <v>17392</v>
      </c>
      <c r="R73" s="4" t="e">
        <f>Q73-#REF!</f>
        <v>#REF!</v>
      </c>
      <c r="T73" s="5">
        <f>Q73</f>
        <v>17392</v>
      </c>
      <c r="W73" s="4">
        <f t="shared" si="5"/>
        <v>0</v>
      </c>
    </row>
    <row r="74" spans="1:23" ht="19.5" customHeight="1" hidden="1" outlineLevel="1">
      <c r="A74" s="22" t="s">
        <v>66</v>
      </c>
      <c r="B74" s="24" t="s">
        <v>9</v>
      </c>
      <c r="H74" s="46"/>
      <c r="K74" s="18">
        <f>35287</f>
        <v>35287</v>
      </c>
      <c r="Q74" s="4">
        <f t="shared" si="7"/>
        <v>35287</v>
      </c>
      <c r="R74" s="4" t="e">
        <f>Q74-#REF!</f>
        <v>#REF!</v>
      </c>
      <c r="T74" s="5">
        <f>Q74</f>
        <v>35287</v>
      </c>
      <c r="W74" s="4">
        <f t="shared" si="5"/>
        <v>0</v>
      </c>
    </row>
    <row r="75" spans="1:23" ht="19.5" customHeight="1" hidden="1" outlineLevel="1">
      <c r="A75" s="22" t="s">
        <v>99</v>
      </c>
      <c r="B75" s="27">
        <v>11</v>
      </c>
      <c r="H75" s="22"/>
      <c r="P75" s="18">
        <v>9872</v>
      </c>
      <c r="Q75" s="4">
        <f>4931+4941</f>
        <v>9872</v>
      </c>
      <c r="R75" s="4" t="e">
        <f>Q75-#REF!</f>
        <v>#REF!</v>
      </c>
      <c r="V75" s="5">
        <f>Q75</f>
        <v>9872</v>
      </c>
      <c r="W75" s="4">
        <f t="shared" si="5"/>
        <v>0</v>
      </c>
    </row>
    <row r="76" ht="12.75" collapsed="1"/>
    <row r="77" spans="1:23" ht="12.75">
      <c r="A77" s="22" t="s">
        <v>67</v>
      </c>
      <c r="C77" s="47">
        <f aca="true" t="shared" si="8" ref="C77:Q77">SUM(C58:C75)</f>
        <v>0</v>
      </c>
      <c r="D77" s="47">
        <f t="shared" si="8"/>
        <v>0</v>
      </c>
      <c r="E77" s="47">
        <f t="shared" si="8"/>
        <v>0</v>
      </c>
      <c r="F77" s="47">
        <f t="shared" si="8"/>
        <v>0</v>
      </c>
      <c r="G77" s="47">
        <f t="shared" si="8"/>
        <v>589523</v>
      </c>
      <c r="H77" s="47">
        <f t="shared" si="8"/>
        <v>205727.73</v>
      </c>
      <c r="I77" s="47">
        <f t="shared" si="8"/>
        <v>779052</v>
      </c>
      <c r="J77" s="47">
        <f t="shared" si="8"/>
        <v>0</v>
      </c>
      <c r="K77" s="47">
        <f t="shared" si="8"/>
        <v>35287</v>
      </c>
      <c r="L77" s="47">
        <f t="shared" si="8"/>
        <v>0</v>
      </c>
      <c r="M77" s="47">
        <f t="shared" si="8"/>
        <v>0</v>
      </c>
      <c r="N77" s="47">
        <f t="shared" si="8"/>
        <v>0</v>
      </c>
      <c r="O77" s="47">
        <f t="shared" si="8"/>
        <v>0</v>
      </c>
      <c r="P77" s="47">
        <f t="shared" si="8"/>
        <v>6899193</v>
      </c>
      <c r="Q77" s="47">
        <f t="shared" si="8"/>
        <v>8508782.73</v>
      </c>
      <c r="R77" s="4" t="e">
        <f>Q77-#REF!</f>
        <v>#REF!</v>
      </c>
      <c r="S77" s="15">
        <f>SUM(S58:S75)</f>
        <v>0</v>
      </c>
      <c r="T77" s="15">
        <f>SUM(T58:T75)</f>
        <v>80460</v>
      </c>
      <c r="U77" s="15">
        <f>SUM(U58:U75)</f>
        <v>0</v>
      </c>
      <c r="V77" s="15">
        <f>SUM(V58:V75)</f>
        <v>8428322.73</v>
      </c>
      <c r="W77" s="15">
        <f>SUM(S77:V77)</f>
        <v>8508782.73</v>
      </c>
    </row>
    <row r="78" spans="1:17" ht="12.75">
      <c r="A78" s="22"/>
      <c r="Q78" s="48"/>
    </row>
    <row r="79" spans="1:23" ht="12.75">
      <c r="A79" s="22" t="s">
        <v>68</v>
      </c>
      <c r="C79" s="48">
        <f aca="true" t="shared" si="9" ref="C79:Q79">C77+C53</f>
        <v>1676259</v>
      </c>
      <c r="D79" s="48">
        <f t="shared" si="9"/>
        <v>0</v>
      </c>
      <c r="E79" s="48">
        <f t="shared" si="9"/>
        <v>172756.01</v>
      </c>
      <c r="F79" s="48">
        <f t="shared" si="9"/>
        <v>0</v>
      </c>
      <c r="G79" s="48">
        <f t="shared" si="9"/>
        <v>595984</v>
      </c>
      <c r="H79" s="48">
        <f t="shared" si="9"/>
        <v>1696590.73</v>
      </c>
      <c r="I79" s="48">
        <f t="shared" si="9"/>
        <v>779052</v>
      </c>
      <c r="J79" s="48">
        <f t="shared" si="9"/>
        <v>0</v>
      </c>
      <c r="K79" s="48">
        <f t="shared" si="9"/>
        <v>3277743</v>
      </c>
      <c r="L79" s="48">
        <f t="shared" si="9"/>
        <v>173307</v>
      </c>
      <c r="M79" s="48">
        <f t="shared" si="9"/>
        <v>132200</v>
      </c>
      <c r="N79" s="48">
        <f t="shared" si="9"/>
        <v>348175</v>
      </c>
      <c r="O79" s="48">
        <f t="shared" si="9"/>
        <v>45000</v>
      </c>
      <c r="P79" s="48">
        <f t="shared" si="9"/>
        <v>19446594</v>
      </c>
      <c r="Q79" s="48">
        <f t="shared" si="9"/>
        <v>28343660.74</v>
      </c>
      <c r="R79" s="4" t="e">
        <f>Q79-#REF!</f>
        <v>#REF!</v>
      </c>
      <c r="S79" s="49">
        <f>S77+S53</f>
        <v>1368463</v>
      </c>
      <c r="T79" s="49">
        <f>T77+T53</f>
        <v>3371701.01</v>
      </c>
      <c r="U79" s="49">
        <f>U77+U53</f>
        <v>13069713</v>
      </c>
      <c r="V79" s="49">
        <f>V77+V53</f>
        <v>10533783.530000001</v>
      </c>
      <c r="W79" s="49">
        <f>W77+W53</f>
        <v>28343660.54</v>
      </c>
    </row>
    <row r="81" ht="19.5">
      <c r="A81" s="50" t="s">
        <v>69</v>
      </c>
    </row>
    <row r="83" ht="12.75" hidden="1" outlineLevel="1"/>
    <row r="84" spans="1:23" ht="12.75" hidden="1" outlineLevel="1">
      <c r="A84" t="s">
        <v>43</v>
      </c>
      <c r="B84" s="41" t="s">
        <v>44</v>
      </c>
      <c r="P84" s="33">
        <v>-2046700</v>
      </c>
      <c r="Q84" s="4">
        <f>SUM(C84:P84)</f>
        <v>-2046700</v>
      </c>
      <c r="R84" s="4" t="e">
        <f>Q84-#REF!</f>
        <v>#REF!</v>
      </c>
      <c r="U84" s="5">
        <f>Q84</f>
        <v>-2046700</v>
      </c>
      <c r="W84" s="4">
        <f>Q84-S84-T84-U84-V84</f>
        <v>0</v>
      </c>
    </row>
    <row r="85" spans="1:23" ht="12.75" hidden="1" outlineLevel="1">
      <c r="A85" t="s">
        <v>70</v>
      </c>
      <c r="B85" s="41" t="s">
        <v>9</v>
      </c>
      <c r="K85" s="33">
        <v>-507781</v>
      </c>
      <c r="Q85" s="4">
        <f>SUM(C85:P85)</f>
        <v>-507781</v>
      </c>
      <c r="R85" s="4" t="e">
        <f>Q85-#REF!</f>
        <v>#REF!</v>
      </c>
      <c r="T85" s="5">
        <f>-91682-232733-119893</f>
        <v>-444308</v>
      </c>
      <c r="U85" s="5">
        <v>-63473</v>
      </c>
      <c r="W85" s="4">
        <f>Q85-S85-T85-U85-V85</f>
        <v>0</v>
      </c>
    </row>
    <row r="86" spans="1:23" ht="12.75" hidden="1" outlineLevel="1">
      <c r="A86" t="s">
        <v>71</v>
      </c>
      <c r="B86" s="41">
        <v>9</v>
      </c>
      <c r="N86" s="33">
        <v>-87175</v>
      </c>
      <c r="Q86" s="4">
        <f>SUM(C86:P86)</f>
        <v>-87175</v>
      </c>
      <c r="R86" s="4" t="e">
        <f>Q86-#REF!</f>
        <v>#REF!</v>
      </c>
      <c r="U86" s="5">
        <f>Q86</f>
        <v>-87175</v>
      </c>
      <c r="W86" s="4">
        <f>Q86-S86-T86-U86-V86</f>
        <v>0</v>
      </c>
    </row>
    <row r="87" ht="12.75" collapsed="1">
      <c r="R87" s="4" t="e">
        <f>Q87-#REF!</f>
        <v>#REF!</v>
      </c>
    </row>
    <row r="88" spans="2:23" s="51" customFormat="1" ht="12.75">
      <c r="B88" s="53"/>
      <c r="C88" s="52">
        <f aca="true" t="shared" si="10" ref="C88:P88">SUM(C84:C86)</f>
        <v>0</v>
      </c>
      <c r="D88" s="52">
        <f t="shared" si="10"/>
        <v>0</v>
      </c>
      <c r="E88" s="52">
        <f t="shared" si="10"/>
        <v>0</v>
      </c>
      <c r="F88" s="52">
        <f t="shared" si="10"/>
        <v>0</v>
      </c>
      <c r="G88" s="52">
        <f t="shared" si="10"/>
        <v>0</v>
      </c>
      <c r="H88" s="52">
        <f t="shared" si="10"/>
        <v>0</v>
      </c>
      <c r="I88" s="52">
        <f t="shared" si="10"/>
        <v>0</v>
      </c>
      <c r="J88" s="52">
        <f t="shared" si="10"/>
        <v>0</v>
      </c>
      <c r="K88" s="52">
        <f t="shared" si="10"/>
        <v>-507781</v>
      </c>
      <c r="L88" s="52">
        <f t="shared" si="10"/>
        <v>0</v>
      </c>
      <c r="M88" s="52">
        <f t="shared" si="10"/>
        <v>0</v>
      </c>
      <c r="N88" s="52">
        <f t="shared" si="10"/>
        <v>-87175</v>
      </c>
      <c r="O88" s="52">
        <f t="shared" si="10"/>
        <v>0</v>
      </c>
      <c r="P88" s="52">
        <f t="shared" si="10"/>
        <v>-2046700</v>
      </c>
      <c r="Q88" s="54">
        <f>SUM(C88:P88)</f>
        <v>-2641656</v>
      </c>
      <c r="R88" s="55" t="e">
        <f>Q88-#REF!</f>
        <v>#REF!</v>
      </c>
      <c r="S88" s="56">
        <f>SUM(S84:S86)</f>
        <v>0</v>
      </c>
      <c r="T88" s="56">
        <f>SUM(T84:T86)</f>
        <v>-444308</v>
      </c>
      <c r="U88" s="56">
        <f>SUM(U84:U86)</f>
        <v>-2197348</v>
      </c>
      <c r="V88" s="56">
        <f>SUM(V84:V86)</f>
        <v>0</v>
      </c>
      <c r="W88" s="56">
        <f>SUM(S88:V88)</f>
        <v>-2641656</v>
      </c>
    </row>
    <row r="92" spans="1:23" ht="12.75">
      <c r="A92" s="22" t="s">
        <v>68</v>
      </c>
      <c r="C92" s="48">
        <f aca="true" t="shared" si="11" ref="C92:Q92">C88+C79</f>
        <v>1676259</v>
      </c>
      <c r="D92" s="48">
        <f t="shared" si="11"/>
        <v>0</v>
      </c>
      <c r="E92" s="48">
        <f t="shared" si="11"/>
        <v>172756.01</v>
      </c>
      <c r="F92" s="48">
        <f t="shared" si="11"/>
        <v>0</v>
      </c>
      <c r="G92" s="48">
        <f t="shared" si="11"/>
        <v>595984</v>
      </c>
      <c r="H92" s="48">
        <f t="shared" si="11"/>
        <v>1696590.73</v>
      </c>
      <c r="I92" s="48">
        <f t="shared" si="11"/>
        <v>779052</v>
      </c>
      <c r="J92" s="48">
        <f t="shared" si="11"/>
        <v>0</v>
      </c>
      <c r="K92" s="48">
        <f t="shared" si="11"/>
        <v>2769962</v>
      </c>
      <c r="L92" s="48">
        <f t="shared" si="11"/>
        <v>173307</v>
      </c>
      <c r="M92" s="48">
        <f t="shared" si="11"/>
        <v>132200</v>
      </c>
      <c r="N92" s="48">
        <f t="shared" si="11"/>
        <v>261000</v>
      </c>
      <c r="O92" s="48">
        <f t="shared" si="11"/>
        <v>45000</v>
      </c>
      <c r="P92" s="48">
        <f t="shared" si="11"/>
        <v>17399894</v>
      </c>
      <c r="Q92" s="48">
        <f t="shared" si="11"/>
        <v>25702004.74</v>
      </c>
      <c r="R92" s="4" t="e">
        <f>Q92-#REF!</f>
        <v>#REF!</v>
      </c>
      <c r="S92" s="48">
        <f>S88+S79</f>
        <v>1368463</v>
      </c>
      <c r="T92" s="48">
        <f>T88+T79</f>
        <v>2927393.01</v>
      </c>
      <c r="U92" s="48">
        <f>U88+U79</f>
        <v>10872365</v>
      </c>
      <c r="V92" s="48">
        <f>V88+V79</f>
        <v>10533783.530000001</v>
      </c>
      <c r="W92" s="48">
        <f>SUM(S92:V92)</f>
        <v>25702004.54</v>
      </c>
    </row>
    <row r="95" spans="1:23" s="47" customFormat="1" ht="12.75">
      <c r="A95" s="47" t="s">
        <v>188</v>
      </c>
      <c r="C95" s="105">
        <v>1461578</v>
      </c>
      <c r="D95" s="105">
        <v>147098</v>
      </c>
      <c r="E95" s="105">
        <v>494586</v>
      </c>
      <c r="F95" s="105">
        <v>86308</v>
      </c>
      <c r="G95" s="105">
        <v>2273621</v>
      </c>
      <c r="H95" s="105">
        <v>1795502</v>
      </c>
      <c r="I95" s="105">
        <v>1313359</v>
      </c>
      <c r="J95" s="105">
        <v>0</v>
      </c>
      <c r="K95" s="105">
        <v>3602820</v>
      </c>
      <c r="L95" s="105">
        <v>366583</v>
      </c>
      <c r="M95" s="105">
        <v>903866</v>
      </c>
      <c r="N95" s="105">
        <v>160979</v>
      </c>
      <c r="O95" s="105">
        <v>547941</v>
      </c>
      <c r="P95" s="105">
        <v>4903272</v>
      </c>
      <c r="Q95" s="105">
        <v>18057512</v>
      </c>
      <c r="R95" s="105"/>
      <c r="S95" s="105">
        <v>1706615</v>
      </c>
      <c r="T95" s="105">
        <v>6650777</v>
      </c>
      <c r="U95" s="105">
        <v>4428196</v>
      </c>
      <c r="V95" s="105">
        <v>5271925</v>
      </c>
      <c r="W95" s="105">
        <f>SUM(S95:V95)</f>
        <v>18057513</v>
      </c>
    </row>
    <row r="97" spans="1:23" s="47" customFormat="1" ht="13.5" thickBot="1">
      <c r="A97" s="47" t="s">
        <v>189</v>
      </c>
      <c r="C97" s="104">
        <f>C95+C92</f>
        <v>3137837</v>
      </c>
      <c r="D97" s="104">
        <f aca="true" t="shared" si="12" ref="D97:W97">D95+D92</f>
        <v>147098</v>
      </c>
      <c r="E97" s="104">
        <f t="shared" si="12"/>
        <v>667342.01</v>
      </c>
      <c r="F97" s="104">
        <f t="shared" si="12"/>
        <v>86308</v>
      </c>
      <c r="G97" s="104">
        <f t="shared" si="12"/>
        <v>2869605</v>
      </c>
      <c r="H97" s="104">
        <f t="shared" si="12"/>
        <v>3492092.73</v>
      </c>
      <c r="I97" s="104">
        <f t="shared" si="12"/>
        <v>2092411</v>
      </c>
      <c r="J97" s="104">
        <f t="shared" si="12"/>
        <v>0</v>
      </c>
      <c r="K97" s="104">
        <f t="shared" si="12"/>
        <v>6372782</v>
      </c>
      <c r="L97" s="104">
        <f t="shared" si="12"/>
        <v>539890</v>
      </c>
      <c r="M97" s="104">
        <f t="shared" si="12"/>
        <v>1036066</v>
      </c>
      <c r="N97" s="104">
        <f t="shared" si="12"/>
        <v>421979</v>
      </c>
      <c r="O97" s="104">
        <f t="shared" si="12"/>
        <v>592941</v>
      </c>
      <c r="P97" s="104">
        <f t="shared" si="12"/>
        <v>22303166</v>
      </c>
      <c r="Q97" s="104">
        <f t="shared" si="12"/>
        <v>43759516.739999995</v>
      </c>
      <c r="R97" s="104" t="e">
        <f t="shared" si="12"/>
        <v>#REF!</v>
      </c>
      <c r="S97" s="104">
        <f t="shared" si="12"/>
        <v>3075078</v>
      </c>
      <c r="T97" s="104">
        <f t="shared" si="12"/>
        <v>9578170.01</v>
      </c>
      <c r="U97" s="104">
        <f t="shared" si="12"/>
        <v>15300561</v>
      </c>
      <c r="V97" s="104">
        <f t="shared" si="12"/>
        <v>15805708.530000001</v>
      </c>
      <c r="W97" s="104">
        <f t="shared" si="12"/>
        <v>43759517.54</v>
      </c>
    </row>
    <row r="98" ht="13.5" thickTop="1"/>
    <row r="100" ht="15.75">
      <c r="A100" s="107" t="s">
        <v>192</v>
      </c>
    </row>
  </sheetData>
  <mergeCells count="1">
    <mergeCell ref="T4:U4"/>
  </mergeCells>
  <printOptions/>
  <pageMargins left="0.21" right="0.28" top="0.2755905511811024" bottom="0.38" header="0.15748031496062992" footer="0.21"/>
  <pageSetup horizontalDpi="600" verticalDpi="600" orientation="landscape" paperSize="5" scale="50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H5" sqref="H5"/>
    </sheetView>
  </sheetViews>
  <sheetFormatPr defaultColWidth="9.140625" defaultRowHeight="12.75"/>
  <cols>
    <col min="1" max="1" width="25.28125" style="0" customWidth="1"/>
    <col min="2" max="2" width="11.421875" style="5" customWidth="1"/>
    <col min="3" max="3" width="11.421875" style="0" customWidth="1"/>
    <col min="4" max="4" width="11.421875" style="5" customWidth="1"/>
    <col min="5" max="5" width="4.57421875" style="0" customWidth="1"/>
    <col min="6" max="6" width="11.421875" style="0" customWidth="1"/>
    <col min="7" max="7" width="0.2890625" style="0" customWidth="1"/>
    <col min="8" max="8" width="11.421875" style="92" customWidth="1"/>
    <col min="9" max="16384" width="11.421875" style="0" customWidth="1"/>
  </cols>
  <sheetData>
    <row r="2" ht="20.25">
      <c r="A2" s="91" t="s">
        <v>114</v>
      </c>
    </row>
    <row r="4" spans="1:8" s="93" customFormat="1" ht="23.25">
      <c r="A4" s="93" t="s">
        <v>115</v>
      </c>
      <c r="B4" s="94"/>
      <c r="D4" s="94"/>
      <c r="H4" s="95"/>
    </row>
    <row r="5" spans="1:8" s="93" customFormat="1" ht="23.25">
      <c r="A5" s="93" t="s">
        <v>116</v>
      </c>
      <c r="B5" s="94"/>
      <c r="D5" s="94"/>
      <c r="H5" s="95"/>
    </row>
    <row r="8" spans="1:8" ht="25.5">
      <c r="A8" t="s">
        <v>117</v>
      </c>
      <c r="B8" s="5" t="s">
        <v>118</v>
      </c>
      <c r="C8" t="s">
        <v>119</v>
      </c>
      <c r="D8" s="96" t="s">
        <v>114</v>
      </c>
      <c r="H8" s="92" t="s">
        <v>120</v>
      </c>
    </row>
    <row r="10" spans="1:6" ht="12.75">
      <c r="A10" t="s">
        <v>121</v>
      </c>
      <c r="B10" s="5">
        <f>525*13</f>
        <v>6825</v>
      </c>
      <c r="C10" s="97">
        <v>1</v>
      </c>
      <c r="D10" s="5">
        <f>B10*C10</f>
        <v>6825</v>
      </c>
      <c r="E10" s="98"/>
      <c r="F10" t="s">
        <v>122</v>
      </c>
    </row>
    <row r="11" spans="1:6" ht="12.75">
      <c r="A11" t="s">
        <v>123</v>
      </c>
      <c r="B11" s="5">
        <v>167405</v>
      </c>
      <c r="C11" s="97">
        <v>0</v>
      </c>
      <c r="D11" s="5">
        <v>0</v>
      </c>
      <c r="E11" s="98"/>
      <c r="F11" t="s">
        <v>124</v>
      </c>
    </row>
    <row r="12" spans="1:6" ht="12.75">
      <c r="A12" t="s">
        <v>125</v>
      </c>
      <c r="B12" s="5">
        <f>24*400</f>
        <v>9600</v>
      </c>
      <c r="C12" s="97">
        <v>1</v>
      </c>
      <c r="D12" s="5">
        <f aca="true" t="shared" si="0" ref="D12:D22">B12*C12</f>
        <v>9600</v>
      </c>
      <c r="F12" t="s">
        <v>122</v>
      </c>
    </row>
    <row r="13" spans="1:6" ht="12.75">
      <c r="A13" t="s">
        <v>126</v>
      </c>
      <c r="B13" s="5">
        <f>185*800</f>
        <v>148000</v>
      </c>
      <c r="C13" s="97">
        <v>0</v>
      </c>
      <c r="D13" s="5">
        <f t="shared" si="0"/>
        <v>0</v>
      </c>
      <c r="E13" s="98"/>
      <c r="F13" t="s">
        <v>124</v>
      </c>
    </row>
    <row r="14" spans="1:6" ht="12.75">
      <c r="A14" t="s">
        <v>127</v>
      </c>
      <c r="B14" s="5">
        <f>39*280</f>
        <v>10920</v>
      </c>
      <c r="C14" s="97">
        <v>0</v>
      </c>
      <c r="D14" s="5">
        <f t="shared" si="0"/>
        <v>0</v>
      </c>
      <c r="E14" s="98"/>
      <c r="F14" t="s">
        <v>124</v>
      </c>
    </row>
    <row r="15" spans="1:6" ht="12.75">
      <c r="A15" t="s">
        <v>128</v>
      </c>
      <c r="B15" s="5">
        <f>15*500</f>
        <v>7500</v>
      </c>
      <c r="C15" s="97">
        <v>1</v>
      </c>
      <c r="D15" s="5">
        <f t="shared" si="0"/>
        <v>7500</v>
      </c>
      <c r="E15" s="98"/>
      <c r="F15" t="s">
        <v>122</v>
      </c>
    </row>
    <row r="16" spans="1:6" ht="12.75">
      <c r="A16" t="s">
        <v>129</v>
      </c>
      <c r="B16" s="5">
        <f>3*3088</f>
        <v>9264</v>
      </c>
      <c r="C16" s="97">
        <v>0</v>
      </c>
      <c r="D16" s="5">
        <f t="shared" si="0"/>
        <v>0</v>
      </c>
      <c r="E16" s="98"/>
      <c r="F16" t="s">
        <v>130</v>
      </c>
    </row>
    <row r="17" spans="1:6" ht="12.75">
      <c r="A17" t="s">
        <v>131</v>
      </c>
      <c r="B17" s="5">
        <f>10*0</f>
        <v>0</v>
      </c>
      <c r="C17" s="97">
        <v>0</v>
      </c>
      <c r="D17" s="5">
        <f t="shared" si="0"/>
        <v>0</v>
      </c>
      <c r="E17" s="98"/>
      <c r="F17" t="s">
        <v>122</v>
      </c>
    </row>
    <row r="18" spans="1:8" ht="12.75">
      <c r="A18" t="s">
        <v>132</v>
      </c>
      <c r="B18" s="5">
        <v>223200</v>
      </c>
      <c r="C18" s="97">
        <v>1</v>
      </c>
      <c r="D18" s="5">
        <f t="shared" si="0"/>
        <v>223200</v>
      </c>
      <c r="E18" s="98"/>
      <c r="F18" t="s">
        <v>124</v>
      </c>
      <c r="H18" s="92">
        <v>223200</v>
      </c>
    </row>
    <row r="19" spans="1:6" ht="12.75">
      <c r="A19" t="s">
        <v>133</v>
      </c>
      <c r="B19" s="5">
        <v>2136</v>
      </c>
      <c r="C19" s="97">
        <v>0</v>
      </c>
      <c r="D19" s="5">
        <f t="shared" si="0"/>
        <v>0</v>
      </c>
      <c r="E19" s="98"/>
      <c r="F19" t="s">
        <v>122</v>
      </c>
    </row>
    <row r="20" spans="1:6" ht="12.75">
      <c r="A20" t="s">
        <v>134</v>
      </c>
      <c r="B20" s="5">
        <v>0</v>
      </c>
      <c r="C20" s="97">
        <v>0</v>
      </c>
      <c r="D20" s="5">
        <f t="shared" si="0"/>
        <v>0</v>
      </c>
      <c r="E20" s="98"/>
      <c r="F20" s="99">
        <v>11</v>
      </c>
    </row>
    <row r="21" spans="1:6" ht="12.75">
      <c r="A21" t="s">
        <v>135</v>
      </c>
      <c r="B21" s="5">
        <v>169813</v>
      </c>
      <c r="C21" s="97">
        <v>0.25</v>
      </c>
      <c r="D21" s="5">
        <f t="shared" si="0"/>
        <v>42453.25</v>
      </c>
      <c r="E21" s="98"/>
      <c r="F21" t="s">
        <v>122</v>
      </c>
    </row>
    <row r="22" spans="1:6" ht="12.75">
      <c r="A22" t="s">
        <v>136</v>
      </c>
      <c r="B22" s="5">
        <v>0</v>
      </c>
      <c r="C22" s="97">
        <v>0</v>
      </c>
      <c r="D22" s="5">
        <f t="shared" si="0"/>
        <v>0</v>
      </c>
      <c r="E22" s="98"/>
      <c r="F22" t="s">
        <v>122</v>
      </c>
    </row>
    <row r="23" spans="3:5" ht="12.75">
      <c r="C23" s="97"/>
      <c r="E23" s="98"/>
    </row>
    <row r="24" spans="3:5" ht="12.75">
      <c r="C24" s="97"/>
      <c r="E24" s="98"/>
    </row>
    <row r="26" spans="2:8" ht="12.75">
      <c r="B26" s="5">
        <f>SUM(B10:B22)</f>
        <v>754663</v>
      </c>
      <c r="C26" s="5"/>
      <c r="D26" s="5">
        <f>SUM(D10:D22)</f>
        <v>289578.25</v>
      </c>
      <c r="H26" s="92">
        <f>SUM(H10:H21)</f>
        <v>223200</v>
      </c>
    </row>
    <row r="41" ht="12.75">
      <c r="F41" s="5"/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1" sqref="F1"/>
    </sheetView>
  </sheetViews>
  <sheetFormatPr defaultColWidth="9.140625" defaultRowHeight="12.75"/>
  <cols>
    <col min="1" max="1" width="51.140625" style="0" bestFit="1" customWidth="1"/>
    <col min="2" max="2" width="6.28125" style="0" bestFit="1" customWidth="1"/>
    <col min="3" max="3" width="12.140625" style="0" bestFit="1" customWidth="1"/>
    <col min="4" max="4" width="13.57421875" style="57" bestFit="1" customWidth="1"/>
    <col min="5" max="5" width="5.28125" style="0" bestFit="1" customWidth="1"/>
    <col min="6" max="6" width="11.28125" style="57" bestFit="1" customWidth="1"/>
    <col min="7" max="16384" width="11.421875" style="0" customWidth="1"/>
  </cols>
  <sheetData>
    <row r="1" ht="18">
      <c r="A1" s="100" t="s">
        <v>137</v>
      </c>
    </row>
    <row r="3" spans="1:6" ht="12.75">
      <c r="A3" t="s">
        <v>138</v>
      </c>
      <c r="B3" t="s">
        <v>119</v>
      </c>
      <c r="C3" t="s">
        <v>139</v>
      </c>
      <c r="D3" s="57" t="s">
        <v>140</v>
      </c>
      <c r="E3" t="s">
        <v>141</v>
      </c>
      <c r="F3" s="57" t="s">
        <v>142</v>
      </c>
    </row>
    <row r="5" spans="1:6" ht="12.75">
      <c r="A5" t="s">
        <v>144</v>
      </c>
      <c r="B5" s="101">
        <v>1</v>
      </c>
      <c r="C5" s="102">
        <v>37914</v>
      </c>
      <c r="D5" s="57">
        <v>10000</v>
      </c>
      <c r="E5" t="s">
        <v>143</v>
      </c>
      <c r="F5" s="57">
        <f aca="true" t="shared" si="0" ref="F5:F47">D5*B5</f>
        <v>10000</v>
      </c>
    </row>
    <row r="6" spans="1:6" ht="12.75">
      <c r="A6" t="s">
        <v>145</v>
      </c>
      <c r="B6" s="101">
        <v>1</v>
      </c>
      <c r="C6" s="102">
        <v>38148</v>
      </c>
      <c r="D6" s="57">
        <v>3000</v>
      </c>
      <c r="E6" t="s">
        <v>143</v>
      </c>
      <c r="F6" s="57">
        <f t="shared" si="0"/>
        <v>3000</v>
      </c>
    </row>
    <row r="7" spans="1:6" ht="12.75">
      <c r="A7" t="s">
        <v>146</v>
      </c>
      <c r="B7" s="101">
        <v>1</v>
      </c>
      <c r="C7" s="102">
        <v>38162</v>
      </c>
      <c r="D7" s="57">
        <v>3000</v>
      </c>
      <c r="E7" t="s">
        <v>143</v>
      </c>
      <c r="F7" s="57">
        <f t="shared" si="0"/>
        <v>3000</v>
      </c>
    </row>
    <row r="8" spans="1:6" ht="12.75">
      <c r="A8" t="s">
        <v>147</v>
      </c>
      <c r="B8" s="101">
        <v>1</v>
      </c>
      <c r="C8" s="102">
        <v>37933</v>
      </c>
      <c r="D8" s="57">
        <v>21000</v>
      </c>
      <c r="E8" t="s">
        <v>143</v>
      </c>
      <c r="F8" s="57">
        <f t="shared" si="0"/>
        <v>21000</v>
      </c>
    </row>
    <row r="9" spans="1:6" ht="12.75">
      <c r="A9" t="s">
        <v>148</v>
      </c>
      <c r="B9" s="101">
        <v>1</v>
      </c>
      <c r="C9" s="102">
        <v>37918</v>
      </c>
      <c r="D9" s="57">
        <v>4800</v>
      </c>
      <c r="E9" t="s">
        <v>143</v>
      </c>
      <c r="F9" s="57">
        <f t="shared" si="0"/>
        <v>4800</v>
      </c>
    </row>
    <row r="10" spans="1:6" ht="12.75">
      <c r="A10" t="s">
        <v>149</v>
      </c>
      <c r="B10" s="101">
        <v>1</v>
      </c>
      <c r="C10" s="102">
        <v>38135</v>
      </c>
      <c r="D10" s="57">
        <v>9000</v>
      </c>
      <c r="E10" t="s">
        <v>143</v>
      </c>
      <c r="F10" s="57">
        <f t="shared" si="0"/>
        <v>9000</v>
      </c>
    </row>
    <row r="11" spans="1:6" ht="12.75">
      <c r="A11" t="s">
        <v>150</v>
      </c>
      <c r="B11" s="101">
        <v>1</v>
      </c>
      <c r="C11" s="102">
        <v>38100</v>
      </c>
      <c r="D11" s="57">
        <v>8000</v>
      </c>
      <c r="E11" t="s">
        <v>143</v>
      </c>
      <c r="F11" s="57">
        <f t="shared" si="0"/>
        <v>8000</v>
      </c>
    </row>
    <row r="12" spans="1:6" ht="12.75">
      <c r="A12" t="s">
        <v>151</v>
      </c>
      <c r="B12" s="101">
        <v>1</v>
      </c>
      <c r="C12" s="102">
        <v>37935</v>
      </c>
      <c r="D12" s="57">
        <v>10000</v>
      </c>
      <c r="E12" t="s">
        <v>143</v>
      </c>
      <c r="F12" s="57">
        <f t="shared" si="0"/>
        <v>10000</v>
      </c>
    </row>
    <row r="13" spans="1:6" ht="12.75">
      <c r="A13" t="s">
        <v>152</v>
      </c>
      <c r="B13" s="101">
        <v>1</v>
      </c>
      <c r="C13" s="102">
        <v>38125</v>
      </c>
      <c r="D13" s="57">
        <v>6000</v>
      </c>
      <c r="E13" t="s">
        <v>143</v>
      </c>
      <c r="F13" s="57">
        <f t="shared" si="0"/>
        <v>6000</v>
      </c>
    </row>
    <row r="14" spans="1:6" ht="12.75">
      <c r="A14" t="s">
        <v>153</v>
      </c>
      <c r="B14" s="101">
        <v>1</v>
      </c>
      <c r="C14" s="102">
        <v>38068</v>
      </c>
      <c r="D14" s="57">
        <v>12000</v>
      </c>
      <c r="E14" t="s">
        <v>143</v>
      </c>
      <c r="F14" s="57">
        <f t="shared" si="0"/>
        <v>12000</v>
      </c>
    </row>
    <row r="15" spans="1:6" ht="12.75">
      <c r="A15" t="s">
        <v>154</v>
      </c>
      <c r="B15" s="101">
        <v>1</v>
      </c>
      <c r="C15" s="102">
        <v>37970</v>
      </c>
      <c r="D15" s="57">
        <v>10000</v>
      </c>
      <c r="E15" t="s">
        <v>143</v>
      </c>
      <c r="F15" s="57">
        <f t="shared" si="0"/>
        <v>10000</v>
      </c>
    </row>
    <row r="16" spans="1:6" ht="12.75">
      <c r="A16" t="s">
        <v>155</v>
      </c>
      <c r="B16" s="101">
        <v>1</v>
      </c>
      <c r="C16" s="102">
        <v>38006</v>
      </c>
      <c r="D16" s="57">
        <v>6000</v>
      </c>
      <c r="E16" t="s">
        <v>143</v>
      </c>
      <c r="F16" s="57">
        <f t="shared" si="0"/>
        <v>6000</v>
      </c>
    </row>
    <row r="17" spans="1:6" ht="12.75">
      <c r="A17" t="s">
        <v>156</v>
      </c>
      <c r="B17" s="101">
        <v>1</v>
      </c>
      <c r="C17" s="102">
        <v>38106</v>
      </c>
      <c r="D17" s="57">
        <v>3000</v>
      </c>
      <c r="E17" t="s">
        <v>143</v>
      </c>
      <c r="F17" s="57">
        <f t="shared" si="0"/>
        <v>3000</v>
      </c>
    </row>
    <row r="18" spans="1:6" ht="12.75">
      <c r="A18" t="s">
        <v>157</v>
      </c>
      <c r="B18" s="101">
        <v>1</v>
      </c>
      <c r="C18" s="102">
        <v>38110</v>
      </c>
      <c r="D18" s="57">
        <v>7500</v>
      </c>
      <c r="E18" t="s">
        <v>143</v>
      </c>
      <c r="F18" s="57">
        <f t="shared" si="0"/>
        <v>7500</v>
      </c>
    </row>
    <row r="19" spans="1:6" ht="12.75">
      <c r="A19" t="s">
        <v>158</v>
      </c>
      <c r="B19" s="101">
        <v>1</v>
      </c>
      <c r="C19" s="102">
        <v>38015</v>
      </c>
      <c r="D19" s="57">
        <v>6400</v>
      </c>
      <c r="E19" t="s">
        <v>143</v>
      </c>
      <c r="F19" s="57">
        <f t="shared" si="0"/>
        <v>6400</v>
      </c>
    </row>
    <row r="20" spans="1:6" ht="12.75">
      <c r="A20" t="s">
        <v>159</v>
      </c>
      <c r="B20" s="101">
        <v>1</v>
      </c>
      <c r="C20" s="102">
        <v>37866</v>
      </c>
      <c r="D20" s="57">
        <v>8000</v>
      </c>
      <c r="E20" t="s">
        <v>143</v>
      </c>
      <c r="F20" s="57">
        <f t="shared" si="0"/>
        <v>8000</v>
      </c>
    </row>
    <row r="21" spans="1:6" ht="12.75">
      <c r="A21" t="s">
        <v>160</v>
      </c>
      <c r="B21" s="101">
        <v>1</v>
      </c>
      <c r="C21" s="102">
        <v>38093</v>
      </c>
      <c r="D21" s="57">
        <v>3600</v>
      </c>
      <c r="E21" t="s">
        <v>143</v>
      </c>
      <c r="F21" s="57">
        <f t="shared" si="0"/>
        <v>3600</v>
      </c>
    </row>
    <row r="22" spans="1:6" ht="12.75">
      <c r="A22" t="s">
        <v>161</v>
      </c>
      <c r="B22" s="101">
        <v>1</v>
      </c>
      <c r="C22" s="102">
        <v>38033</v>
      </c>
      <c r="D22" s="57">
        <v>8800</v>
      </c>
      <c r="E22" t="s">
        <v>143</v>
      </c>
      <c r="F22" s="57">
        <f t="shared" si="0"/>
        <v>8800</v>
      </c>
    </row>
    <row r="23" spans="1:6" ht="12.75">
      <c r="A23" t="s">
        <v>162</v>
      </c>
      <c r="B23" s="101">
        <v>1</v>
      </c>
      <c r="C23" s="102">
        <v>38112</v>
      </c>
      <c r="D23" s="57">
        <v>12000</v>
      </c>
      <c r="E23" t="s">
        <v>143</v>
      </c>
      <c r="F23" s="57">
        <f t="shared" si="0"/>
        <v>12000</v>
      </c>
    </row>
    <row r="24" spans="1:6" ht="12.75">
      <c r="A24" t="s">
        <v>163</v>
      </c>
      <c r="B24" s="101">
        <v>1</v>
      </c>
      <c r="C24" s="102">
        <v>38183</v>
      </c>
      <c r="D24" s="57">
        <v>3000</v>
      </c>
      <c r="E24" t="s">
        <v>143</v>
      </c>
      <c r="F24" s="57">
        <f t="shared" si="0"/>
        <v>3000</v>
      </c>
    </row>
    <row r="25" spans="1:6" ht="12.75">
      <c r="A25" t="s">
        <v>164</v>
      </c>
      <c r="B25" s="101">
        <v>1</v>
      </c>
      <c r="C25" s="102">
        <v>38160</v>
      </c>
      <c r="D25" s="57">
        <v>12000</v>
      </c>
      <c r="E25" t="s">
        <v>143</v>
      </c>
      <c r="F25" s="57">
        <f t="shared" si="0"/>
        <v>12000</v>
      </c>
    </row>
    <row r="26" spans="1:6" ht="12.75">
      <c r="A26" t="s">
        <v>165</v>
      </c>
      <c r="B26" s="101">
        <v>1</v>
      </c>
      <c r="C26" s="102">
        <v>38181</v>
      </c>
      <c r="D26" s="57">
        <v>12000</v>
      </c>
      <c r="E26" t="s">
        <v>143</v>
      </c>
      <c r="F26" s="57">
        <f t="shared" si="0"/>
        <v>12000</v>
      </c>
    </row>
    <row r="27" spans="1:6" ht="12.75">
      <c r="A27" t="s">
        <v>166</v>
      </c>
      <c r="B27" s="101">
        <v>1</v>
      </c>
      <c r="C27" s="102">
        <v>38174</v>
      </c>
      <c r="D27" s="57">
        <v>9000</v>
      </c>
      <c r="E27" t="s">
        <v>143</v>
      </c>
      <c r="F27" s="57">
        <f t="shared" si="0"/>
        <v>9000</v>
      </c>
    </row>
    <row r="28" spans="1:6" ht="12.75">
      <c r="A28" t="s">
        <v>167</v>
      </c>
      <c r="B28" s="101">
        <v>1</v>
      </c>
      <c r="C28" s="102">
        <v>38146</v>
      </c>
      <c r="D28" s="57">
        <v>7200</v>
      </c>
      <c r="E28" t="s">
        <v>143</v>
      </c>
      <c r="F28" s="57">
        <f t="shared" si="0"/>
        <v>7200</v>
      </c>
    </row>
    <row r="29" spans="1:6" ht="12.75">
      <c r="A29" t="s">
        <v>168</v>
      </c>
      <c r="B29" s="101">
        <v>1</v>
      </c>
      <c r="C29" s="102">
        <v>38153</v>
      </c>
      <c r="D29" s="57">
        <v>9000</v>
      </c>
      <c r="E29" t="s">
        <v>143</v>
      </c>
      <c r="F29" s="57">
        <f t="shared" si="0"/>
        <v>9000</v>
      </c>
    </row>
    <row r="30" spans="1:6" ht="12.75">
      <c r="A30" t="s">
        <v>169</v>
      </c>
      <c r="B30" s="101">
        <v>1</v>
      </c>
      <c r="C30" s="102">
        <v>38188</v>
      </c>
      <c r="D30" s="57">
        <v>9000</v>
      </c>
      <c r="E30" t="s">
        <v>143</v>
      </c>
      <c r="F30" s="57">
        <f t="shared" si="0"/>
        <v>9000</v>
      </c>
    </row>
    <row r="31" spans="1:6" ht="12.75">
      <c r="A31" t="s">
        <v>170</v>
      </c>
      <c r="B31" s="101">
        <v>1</v>
      </c>
      <c r="C31" s="102">
        <v>38167</v>
      </c>
      <c r="D31" s="57">
        <v>12000</v>
      </c>
      <c r="E31" t="s">
        <v>143</v>
      </c>
      <c r="F31" s="57">
        <f t="shared" si="0"/>
        <v>12000</v>
      </c>
    </row>
    <row r="32" spans="1:6" ht="12.75">
      <c r="A32" t="s">
        <v>171</v>
      </c>
      <c r="B32" s="101">
        <v>1</v>
      </c>
      <c r="C32" s="102">
        <v>38139</v>
      </c>
      <c r="D32" s="57">
        <v>12000</v>
      </c>
      <c r="E32" t="s">
        <v>143</v>
      </c>
      <c r="F32" s="57">
        <f t="shared" si="0"/>
        <v>12000</v>
      </c>
    </row>
    <row r="33" spans="1:6" ht="12.75">
      <c r="A33" t="s">
        <v>172</v>
      </c>
      <c r="B33" s="101">
        <v>1</v>
      </c>
      <c r="C33" s="102">
        <v>38024</v>
      </c>
      <c r="D33" s="57">
        <v>15000</v>
      </c>
      <c r="E33" t="s">
        <v>143</v>
      </c>
      <c r="F33" s="57">
        <f t="shared" si="0"/>
        <v>15000</v>
      </c>
    </row>
    <row r="34" spans="1:6" ht="12.75">
      <c r="A34" t="s">
        <v>173</v>
      </c>
      <c r="B34" s="101">
        <v>1</v>
      </c>
      <c r="C34" s="102">
        <v>37928</v>
      </c>
      <c r="D34" s="57">
        <v>4800</v>
      </c>
      <c r="E34" t="s">
        <v>143</v>
      </c>
      <c r="F34" s="57">
        <f t="shared" si="0"/>
        <v>4800</v>
      </c>
    </row>
    <row r="35" spans="1:6" ht="12.75">
      <c r="A35" t="s">
        <v>174</v>
      </c>
      <c r="B35" s="101">
        <v>1</v>
      </c>
      <c r="C35" s="102">
        <v>38118</v>
      </c>
      <c r="D35" s="57">
        <v>4800</v>
      </c>
      <c r="E35" t="s">
        <v>143</v>
      </c>
      <c r="F35" s="57">
        <f t="shared" si="0"/>
        <v>4800</v>
      </c>
    </row>
    <row r="36" spans="1:6" ht="12.75">
      <c r="A36" t="s">
        <v>175</v>
      </c>
      <c r="B36" s="101">
        <v>1</v>
      </c>
      <c r="C36" s="102">
        <v>37953</v>
      </c>
      <c r="D36" s="57">
        <v>4800</v>
      </c>
      <c r="E36" t="s">
        <v>143</v>
      </c>
      <c r="F36" s="57">
        <f t="shared" si="0"/>
        <v>4800</v>
      </c>
    </row>
    <row r="37" spans="1:6" ht="12.75">
      <c r="A37" t="s">
        <v>176</v>
      </c>
      <c r="B37" s="101">
        <v>1</v>
      </c>
      <c r="C37" s="102">
        <v>38189</v>
      </c>
      <c r="D37" s="57">
        <v>3200</v>
      </c>
      <c r="E37" t="s">
        <v>143</v>
      </c>
      <c r="F37" s="57">
        <f t="shared" si="0"/>
        <v>3200</v>
      </c>
    </row>
    <row r="38" spans="1:6" ht="12.75">
      <c r="A38" t="s">
        <v>177</v>
      </c>
      <c r="B38" s="101">
        <v>1</v>
      </c>
      <c r="C38" s="102">
        <v>38083</v>
      </c>
      <c r="D38" s="57">
        <v>11000</v>
      </c>
      <c r="E38" t="s">
        <v>143</v>
      </c>
      <c r="F38" s="57">
        <f t="shared" si="0"/>
        <v>11000</v>
      </c>
    </row>
    <row r="39" spans="1:6" ht="12.75">
      <c r="A39" t="s">
        <v>178</v>
      </c>
      <c r="B39" s="101">
        <v>1</v>
      </c>
      <c r="C39" s="102">
        <v>37873</v>
      </c>
      <c r="D39" s="57">
        <v>6000</v>
      </c>
      <c r="E39" t="s">
        <v>143</v>
      </c>
      <c r="F39" s="57">
        <f t="shared" si="0"/>
        <v>6000</v>
      </c>
    </row>
    <row r="40" spans="1:6" ht="12.75">
      <c r="A40" t="s">
        <v>179</v>
      </c>
      <c r="B40" s="101">
        <v>1</v>
      </c>
      <c r="C40" s="102">
        <v>38027</v>
      </c>
      <c r="D40" s="57">
        <v>4800</v>
      </c>
      <c r="E40" t="s">
        <v>143</v>
      </c>
      <c r="F40" s="57">
        <f t="shared" si="0"/>
        <v>4800</v>
      </c>
    </row>
    <row r="41" spans="1:6" ht="12.75">
      <c r="A41" t="s">
        <v>180</v>
      </c>
      <c r="B41" s="101">
        <v>1</v>
      </c>
      <c r="C41" s="102">
        <v>38169</v>
      </c>
      <c r="D41" s="57">
        <v>3000</v>
      </c>
      <c r="E41" t="s">
        <v>143</v>
      </c>
      <c r="F41" s="57">
        <f t="shared" si="0"/>
        <v>3000</v>
      </c>
    </row>
    <row r="42" spans="1:6" ht="12.75">
      <c r="A42" t="s">
        <v>181</v>
      </c>
      <c r="B42" s="101">
        <v>1</v>
      </c>
      <c r="C42" s="102">
        <v>37908</v>
      </c>
      <c r="D42" s="57">
        <v>8000</v>
      </c>
      <c r="E42" t="s">
        <v>143</v>
      </c>
      <c r="F42" s="57">
        <f t="shared" si="0"/>
        <v>8000</v>
      </c>
    </row>
    <row r="43" spans="1:6" ht="12.75">
      <c r="A43" t="s">
        <v>182</v>
      </c>
      <c r="B43" s="101">
        <v>1</v>
      </c>
      <c r="C43" s="102">
        <v>38190</v>
      </c>
      <c r="D43" s="57">
        <v>3000</v>
      </c>
      <c r="E43" t="s">
        <v>143</v>
      </c>
      <c r="F43" s="57">
        <f t="shared" si="0"/>
        <v>3000</v>
      </c>
    </row>
    <row r="44" spans="1:6" ht="12.75">
      <c r="A44" t="s">
        <v>183</v>
      </c>
      <c r="B44" s="101">
        <v>1</v>
      </c>
      <c r="C44" s="102">
        <v>38145</v>
      </c>
      <c r="D44" s="57">
        <v>800</v>
      </c>
      <c r="E44" t="s">
        <v>143</v>
      </c>
      <c r="F44" s="57">
        <f t="shared" si="0"/>
        <v>800</v>
      </c>
    </row>
    <row r="45" spans="1:6" ht="12.75">
      <c r="A45" t="s">
        <v>184</v>
      </c>
      <c r="B45" s="101">
        <v>1</v>
      </c>
      <c r="C45" s="102">
        <v>38155</v>
      </c>
      <c r="D45" s="57">
        <v>3000</v>
      </c>
      <c r="E45" t="s">
        <v>143</v>
      </c>
      <c r="F45" s="57">
        <f t="shared" si="0"/>
        <v>3000</v>
      </c>
    </row>
    <row r="46" spans="1:6" ht="12.75">
      <c r="A46" t="s">
        <v>185</v>
      </c>
      <c r="B46" s="101">
        <v>1</v>
      </c>
      <c r="C46" s="102">
        <v>38141</v>
      </c>
      <c r="D46" s="57">
        <v>3000</v>
      </c>
      <c r="E46" t="s">
        <v>143</v>
      </c>
      <c r="F46" s="57">
        <f t="shared" si="0"/>
        <v>3000</v>
      </c>
    </row>
    <row r="47" spans="1:6" ht="12.75">
      <c r="A47" t="s">
        <v>186</v>
      </c>
      <c r="B47" s="101">
        <v>1</v>
      </c>
      <c r="C47" s="102">
        <v>37960</v>
      </c>
      <c r="D47" s="57">
        <v>6000</v>
      </c>
      <c r="E47" t="s">
        <v>143</v>
      </c>
      <c r="F47" s="57">
        <f t="shared" si="0"/>
        <v>6000</v>
      </c>
    </row>
    <row r="51" spans="1:6" ht="12.75">
      <c r="A51" t="s">
        <v>67</v>
      </c>
      <c r="D51" s="57">
        <f>SUM(D5:D47)</f>
        <v>318500</v>
      </c>
      <c r="F51" s="57">
        <f>SUM(F5:F47)</f>
        <v>318500</v>
      </c>
    </row>
  </sheetData>
  <printOptions/>
  <pageMargins left="0.75" right="0.75" top="1" bottom="1" header="0.4921259845" footer="0.492125984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TQS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TQS Inc.</dc:title>
  <dc:subject/>
  <dc:creator>***</dc:creator>
  <cp:keywords/>
  <dc:description/>
  <cp:lastModifiedBy>lafrancs</cp:lastModifiedBy>
  <cp:lastPrinted>2005-07-13T14:59:08Z</cp:lastPrinted>
  <dcterms:created xsi:type="dcterms:W3CDTF">2004-10-20T15:57:48Z</dcterms:created>
  <dcterms:modified xsi:type="dcterms:W3CDTF">2005-07-13T15:01:13Z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-1047510557</vt:i4>
  </property>
  <property fmtid="{D5CDD505-2E9C-101B-9397-08002B2CF9AE}" pid="4" name="_EmailSubje">
    <vt:lpwstr/>
  </property>
  <property fmtid="{D5CDD505-2E9C-101B-9397-08002B2CF9AE}" pid="5" name="_AuthorEma">
    <vt:lpwstr>Sylvie.Lafrance@crtc.gc.ca</vt:lpwstr>
  </property>
  <property fmtid="{D5CDD505-2E9C-101B-9397-08002B2CF9AE}" pid="6" name="_AuthorEmailDisplayNa">
    <vt:lpwstr>Lafrance, Sylvie</vt:lpwstr>
  </property>
</Properties>
</file>